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845" tabRatio="731"/>
  </bookViews>
  <sheets>
    <sheet name=" СМЕТА 2020" sheetId="1" r:id="rId1"/>
  </sheets>
  <definedNames>
    <definedName name="_xlnm.Print_Area" localSheetId="0">' СМЕТА 2020'!$B$1:$J$54</definedName>
  </definedNames>
  <calcPr calcId="152511"/>
</workbook>
</file>

<file path=xl/calcChain.xml><?xml version="1.0" encoding="utf-8"?>
<calcChain xmlns="http://schemas.openxmlformats.org/spreadsheetml/2006/main">
  <c r="D41" i="1" l="1"/>
  <c r="D49" i="1"/>
  <c r="G37" i="1"/>
  <c r="E37" i="1"/>
  <c r="F37" i="1"/>
  <c r="D37" i="1"/>
  <c r="H37" i="1" l="1"/>
  <c r="E53" i="1"/>
  <c r="E42" i="1" l="1"/>
  <c r="E18" i="1" l="1"/>
  <c r="F18" i="1"/>
  <c r="G18" i="1"/>
  <c r="D18" i="1"/>
  <c r="E33" i="1"/>
  <c r="F33" i="1"/>
  <c r="G33" i="1"/>
  <c r="D33" i="1"/>
  <c r="E32" i="1"/>
  <c r="F32" i="1"/>
  <c r="G32" i="1"/>
  <c r="D32" i="1"/>
  <c r="E31" i="1"/>
  <c r="F31" i="1"/>
  <c r="G31" i="1"/>
  <c r="D31" i="1"/>
  <c r="E29" i="1"/>
  <c r="F29" i="1"/>
  <c r="G29" i="1"/>
  <c r="D29" i="1"/>
  <c r="E28" i="1"/>
  <c r="F28" i="1"/>
  <c r="G28" i="1"/>
  <c r="D28" i="1"/>
  <c r="E27" i="1"/>
  <c r="F27" i="1"/>
  <c r="G27" i="1"/>
  <c r="D27" i="1"/>
  <c r="E23" i="1"/>
  <c r="F23" i="1"/>
  <c r="G23" i="1"/>
  <c r="D23" i="1"/>
  <c r="G22" i="1"/>
  <c r="E22" i="1"/>
  <c r="F22" i="1"/>
  <c r="D22" i="1"/>
  <c r="E19" i="1"/>
  <c r="F19" i="1"/>
  <c r="G19" i="1"/>
  <c r="D19" i="1"/>
  <c r="E17" i="1" l="1"/>
  <c r="F17" i="1"/>
  <c r="G17" i="1"/>
  <c r="D17" i="1"/>
  <c r="F53" i="1" l="1"/>
  <c r="F38" i="1" l="1"/>
  <c r="D38" i="1" l="1"/>
  <c r="E38" i="1"/>
  <c r="G38" i="1"/>
  <c r="H33" i="1"/>
  <c r="J33" i="1" s="1"/>
  <c r="J37" i="1"/>
  <c r="H38" i="1" l="1"/>
  <c r="H36" i="1"/>
  <c r="J36" i="1" s="1"/>
  <c r="J38" i="1" l="1"/>
  <c r="F42" i="1"/>
  <c r="I35" i="1"/>
  <c r="H19" i="1" l="1"/>
  <c r="J19" i="1" s="1"/>
  <c r="E9" i="1" l="1"/>
  <c r="F9" i="1"/>
  <c r="G9" i="1"/>
  <c r="D9" i="1"/>
  <c r="I25" i="1" l="1"/>
  <c r="E24" i="1" l="1"/>
  <c r="F24" i="1"/>
  <c r="G24" i="1"/>
  <c r="D24" i="1"/>
  <c r="H23" i="1" l="1"/>
  <c r="J23" i="1" s="1"/>
  <c r="E20" i="1" l="1"/>
  <c r="F20" i="1"/>
  <c r="G20" i="1"/>
  <c r="D20" i="1"/>
  <c r="H17" i="1" l="1"/>
  <c r="J17" i="1" s="1"/>
  <c r="E16" i="1"/>
  <c r="F16" i="1"/>
  <c r="G16" i="1"/>
  <c r="D16" i="1"/>
  <c r="H18" i="1" l="1"/>
  <c r="J18" i="1" s="1"/>
  <c r="H16" i="1"/>
  <c r="J16" i="1" s="1"/>
  <c r="E30" i="1"/>
  <c r="F30" i="1"/>
  <c r="G30" i="1"/>
  <c r="D30" i="1"/>
  <c r="E21" i="1"/>
  <c r="F21" i="1"/>
  <c r="G21" i="1"/>
  <c r="D21" i="1"/>
  <c r="D25" i="1" s="1"/>
  <c r="H9" i="1"/>
  <c r="J9" i="1" s="1"/>
  <c r="H34" i="1" l="1"/>
  <c r="J34" i="1" s="1"/>
  <c r="H32" i="1"/>
  <c r="J32" i="1" s="1"/>
  <c r="H31" i="1"/>
  <c r="J31" i="1" s="1"/>
  <c r="H30" i="1"/>
  <c r="J30" i="1" s="1"/>
  <c r="G25" i="1"/>
  <c r="H20" i="1"/>
  <c r="J20" i="1" s="1"/>
  <c r="G35" i="1" l="1"/>
  <c r="H21" i="1"/>
  <c r="J21" i="1" s="1"/>
  <c r="H24" i="1"/>
  <c r="J24" i="1" s="1"/>
  <c r="H28" i="1"/>
  <c r="J28" i="1" s="1"/>
  <c r="H29" i="1"/>
  <c r="J29" i="1" s="1"/>
  <c r="E35" i="1"/>
  <c r="F35" i="1"/>
  <c r="H27" i="1"/>
  <c r="J27" i="1" s="1"/>
  <c r="D35" i="1"/>
  <c r="F25" i="1"/>
  <c r="H22" i="1"/>
  <c r="J22" i="1" s="1"/>
  <c r="E25" i="1"/>
  <c r="H35" i="1" l="1"/>
  <c r="I26" i="1"/>
  <c r="H25" i="1"/>
  <c r="H8" i="1" l="1"/>
  <c r="J25" i="1"/>
  <c r="J8" i="1" s="1"/>
  <c r="H26" i="1"/>
  <c r="J26" i="1" s="1"/>
  <c r="J35" i="1"/>
  <c r="I8" i="1"/>
  <c r="I7" i="1" s="1"/>
  <c r="E41" i="1" s="1"/>
  <c r="E43" i="1" s="1"/>
  <c r="H7" i="1" l="1"/>
  <c r="D48" i="1" l="1"/>
  <c r="D53" i="1" s="1"/>
  <c r="J7" i="1"/>
  <c r="F41" i="1" l="1"/>
  <c r="F43" i="1" s="1"/>
  <c r="D43" i="1"/>
</calcChain>
</file>

<file path=xl/comments1.xml><?xml version="1.0" encoding="utf-8"?>
<comments xmlns="http://schemas.openxmlformats.org/spreadsheetml/2006/main">
  <authors>
    <author>Nataliya</author>
    <author>Margo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Nataliya:</t>
        </r>
        <r>
          <rPr>
            <sz val="9"/>
            <color indexed="81"/>
            <rFont val="Tahoma"/>
            <family val="2"/>
            <charset val="204"/>
          </rPr>
          <t xml:space="preserve">
2070,43
 р/м
2600 
 разовая дезинсекция/дезинфекция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Nataliya:</t>
        </r>
        <r>
          <rPr>
            <sz val="9"/>
            <color indexed="81"/>
            <rFont val="Tahoma"/>
            <family val="2"/>
            <charset val="204"/>
          </rPr>
          <t xml:space="preserve">
59007- Ежемес обслужив
623,8 - АСВТ Интернет
250 - Страховка
3007,88 - Освидетельствование
18000 - На планируемый ремонт лифтов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Nataliya:</t>
        </r>
        <r>
          <rPr>
            <sz val="9"/>
            <color indexed="81"/>
            <rFont val="Tahoma"/>
            <family val="2"/>
            <charset val="204"/>
          </rPr>
          <t xml:space="preserve">
4794,76 - ДУ и ППА
1760 - Водяное пожаротушение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Nataliya:</t>
        </r>
        <r>
          <rPr>
            <sz val="9"/>
            <color indexed="81"/>
            <rFont val="Tahoma"/>
            <family val="2"/>
            <charset val="204"/>
          </rPr>
          <t xml:space="preserve">
850,00 лампы,мусор не включен в начале ода дог не было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  <charset val="204"/>
          </rPr>
          <t>Nataliya:</t>
        </r>
        <r>
          <rPr>
            <sz val="9"/>
            <color indexed="81"/>
            <rFont val="Tahoma"/>
            <family val="2"/>
            <charset val="204"/>
          </rPr>
          <t xml:space="preserve">
4887,50  рублей 
 в месяц</t>
        </r>
      </text>
    </comment>
    <comment ref="D27" authorId="1" shapeId="0">
      <text>
        <r>
          <rPr>
            <b/>
            <sz val="9"/>
            <color indexed="81"/>
            <rFont val="Tahoma"/>
            <family val="2"/>
            <charset val="204"/>
          </rPr>
          <t>Margo:</t>
        </r>
        <r>
          <rPr>
            <sz val="9"/>
            <color indexed="81"/>
            <rFont val="Tahoma"/>
            <family val="2"/>
            <charset val="204"/>
          </rPr>
          <t xml:space="preserve">
107200*130,2%+300 дни отпусков приходящих на праздники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11800 - Контур Экстерн
26400 - ГИС ЖКХ
2000 - ЭЦП
6800 - 1с-Рарус
=47000 в год/12=3917 в месяц
</t>
        </r>
      </text>
    </comment>
    <comment ref="D33" authorId="1" shapeId="0">
      <text>
        <r>
          <rPr>
            <b/>
            <sz val="9"/>
            <color indexed="81"/>
            <rFont val="Tahoma"/>
            <family val="2"/>
            <charset val="204"/>
          </rPr>
          <t>Margo:</t>
        </r>
        <r>
          <rPr>
            <sz val="9"/>
            <color indexed="81"/>
            <rFont val="Tahoma"/>
            <family val="2"/>
            <charset val="204"/>
          </rPr>
          <t xml:space="preserve">
мцфэр 817,32
обучение774,34
</t>
        </r>
      </text>
    </comment>
  </commentList>
</comments>
</file>

<file path=xl/sharedStrings.xml><?xml version="1.0" encoding="utf-8"?>
<sst xmlns="http://schemas.openxmlformats.org/spreadsheetml/2006/main" count="80" uniqueCount="77">
  <si>
    <t>Наименование статей</t>
  </si>
  <si>
    <t>Итого:</t>
  </si>
  <si>
    <t>Юридические услуги</t>
  </si>
  <si>
    <t>Обслуживание банка</t>
  </si>
  <si>
    <t>1 квартал</t>
  </si>
  <si>
    <t>2 квартал</t>
  </si>
  <si>
    <t>3 квартал</t>
  </si>
  <si>
    <t>4 квартал</t>
  </si>
  <si>
    <t xml:space="preserve">Наладка и эксплуатация инженерного оборудования дома </t>
  </si>
  <si>
    <t xml:space="preserve">Подготовка к сезонной эксплуатации дома </t>
  </si>
  <si>
    <t>Проведение тех. осмотров и мелкий ремонт</t>
  </si>
  <si>
    <t>Устранение аварий и выполнение заявок населения в отношении общего имущества, расположенного в квартирах.</t>
  </si>
  <si>
    <t>Уборка придомовой территории и содержание элементов благоустройства</t>
  </si>
  <si>
    <t>Подготовка к эксплуатации в осенне-зимний период</t>
  </si>
  <si>
    <t>Дератизация, Дезинсекция</t>
  </si>
  <si>
    <t>Техническое обслуживание лифтов +страхование +ежегодное освидетельствование лифтов; проверка «фаза-нуль»</t>
  </si>
  <si>
    <t>№
п/п</t>
  </si>
  <si>
    <t xml:space="preserve">Обслуживание ковров </t>
  </si>
  <si>
    <t>Единый налог в связи с применением УСН</t>
  </si>
  <si>
    <t>Канцелярские расходы и содержание оргтехники</t>
  </si>
  <si>
    <t>Принята на заседании Правления
Протокол № _______________   
от _________________________</t>
  </si>
  <si>
    <t>Охрана общедомового имущества и придомовой территории</t>
  </si>
  <si>
    <t>Обслуживание шлагбаумов, домофонов, видеонаблюдения</t>
  </si>
  <si>
    <t>Санитарные работы по содержанию помещений общего пользования, уборка  лестничных клеток и обслуживание контейнерной площадки</t>
  </si>
  <si>
    <t>Материалы, инвентарь и хоз товары на содержание и эксплуатацию общего имущества МКД</t>
  </si>
  <si>
    <t>Техническое обслуживание и ремонт системы ДУ и ППА и водяного пожаротушения
(Пожарная сигнализация)</t>
  </si>
  <si>
    <t>Фонд заработной платы 
(Председатель Правления, Бухгалтер, Паспортист) включая налоги с ФОТ</t>
  </si>
  <si>
    <t>Механическая уборка и вывоз снега</t>
  </si>
  <si>
    <t>Программное обеспечение и ГИС ЖКХ</t>
  </si>
  <si>
    <t>Обслуживание коллективной антенны</t>
  </si>
  <si>
    <t>Расходы факт</t>
  </si>
  <si>
    <t>Расходы план</t>
  </si>
  <si>
    <r>
      <t>Утвержден на  внеочередном общем собрании членов ТСЖ "Путилково-Люкс" , проводимом путем  очно-заочного голосования  с ________________ по _____________________________       
Протокол № __________
от_</t>
    </r>
    <r>
      <rPr>
        <u/>
        <sz val="12"/>
        <rFont val="Arial"/>
        <family val="2"/>
        <charset val="204"/>
      </rPr>
      <t>________________________</t>
    </r>
  </si>
  <si>
    <t>Услуги связи, почтовые расходы, транспортные расходы</t>
  </si>
  <si>
    <t>Обучение персонала, подписка на Журнал по ЖКХ</t>
  </si>
  <si>
    <t>Целевые расходы по оплате содержания, эксплуатации и текущего ремонта общего имущества в многоквартирном доме, всего</t>
  </si>
  <si>
    <t>Целевые расходы на управление, в том числе:</t>
  </si>
  <si>
    <t>Целевые расходы на охрану:</t>
  </si>
  <si>
    <t xml:space="preserve"> -Экономия по статье "Целевые расходы по оплате содержания, эксплуатации и текущего ремонта общего имущества в многоквартирном доме" составила</t>
  </si>
  <si>
    <t>Доходы по ст. "Содержание  и текущий ремонт  жилого и нежилого помещения в многоквартирном доме",  всего</t>
  </si>
  <si>
    <t>Экономия/Перерасход по смете</t>
  </si>
  <si>
    <t>Утилизация люминесцентных ламп</t>
  </si>
  <si>
    <t>20.30.1</t>
  </si>
  <si>
    <t>20.30.7</t>
  </si>
  <si>
    <t>20.30.9</t>
  </si>
  <si>
    <t>20.30.4</t>
  </si>
  <si>
    <t>20.30.5</t>
  </si>
  <si>
    <t>20.30.2</t>
  </si>
  <si>
    <t>20.30.3</t>
  </si>
  <si>
    <t>20.30.6</t>
  </si>
  <si>
    <t>20.30.8</t>
  </si>
  <si>
    <t>20.40.1</t>
  </si>
  <si>
    <t>20.40.2</t>
  </si>
  <si>
    <t>20.40.4</t>
  </si>
  <si>
    <t>20.40.5</t>
  </si>
  <si>
    <t>20.40.7</t>
  </si>
  <si>
    <t>20.40.8</t>
  </si>
  <si>
    <t>20.40.3;20.40.6</t>
  </si>
  <si>
    <t>20.50.1</t>
  </si>
  <si>
    <t>ТСЖ "ПУТИЛКОВО-ЛЮКС"
Отчет по смете за 2020г</t>
  </si>
  <si>
    <t>Остаток/перерасход</t>
  </si>
  <si>
    <t>План</t>
  </si>
  <si>
    <t>Факт</t>
  </si>
  <si>
    <t>Отклонения от плана ("-"перерасход, "+" экономия)</t>
  </si>
  <si>
    <t>ИТОГО:</t>
  </si>
  <si>
    <t>Фактическая ЭКОНОМИЯ по смете (без учета доходов от коммерческой деятельности) за 2020 год составила:</t>
  </si>
  <si>
    <t xml:space="preserve"> - Экономия по статье "Целевые расходы на охрану общедомового имущества и придомовой территории" составила:</t>
  </si>
  <si>
    <t>Доходы по ст "Целевые взносы  на охрану общедомового имущества и придомовой территории",всего</t>
  </si>
  <si>
    <t>Начислено</t>
  </si>
  <si>
    <t>Оплачено</t>
  </si>
  <si>
    <t>Доходы по ст "Резервный фонд"</t>
  </si>
  <si>
    <t xml:space="preserve">План </t>
  </si>
  <si>
    <t>Коммерческая деятельность</t>
  </si>
  <si>
    <t>Статья поступлений</t>
  </si>
  <si>
    <t>Формирование взносов в фонд капитального ремонта</t>
  </si>
  <si>
    <t>Заключение по исполнению сметы 2020</t>
  </si>
  <si>
    <t>Анализ целевых поступлений и доходов по коммерческой деятельности 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</si>
</sst>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0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name val="Arial"/>
      <family val="2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164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2" borderId="0" xfId="0" applyFont="1" applyFill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4" fontId="3" fillId="2" borderId="10" xfId="0" applyNumberFormat="1" applyFont="1" applyFill="1" applyBorder="1" applyAlignment="1">
      <alignment horizontal="righ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164" fontId="3" fillId="2" borderId="21" xfId="0" applyNumberFormat="1" applyFont="1" applyFill="1" applyBorder="1" applyAlignment="1">
      <alignment horizontal="right" vertical="center" wrapText="1"/>
    </xf>
    <xf numFmtId="164" fontId="3" fillId="2" borderId="22" xfId="0" applyNumberFormat="1" applyFon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 wrapText="1"/>
    </xf>
    <xf numFmtId="164" fontId="7" fillId="3" borderId="16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3" fillId="2" borderId="35" xfId="0" applyNumberFormat="1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164" fontId="7" fillId="3" borderId="35" xfId="0" applyNumberFormat="1" applyFont="1" applyFill="1" applyBorder="1" applyAlignment="1">
      <alignment vertical="center" wrapText="1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164" fontId="7" fillId="3" borderId="8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35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16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4" borderId="12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3" fillId="5" borderId="3" xfId="0" applyNumberFormat="1" applyFont="1" applyFill="1" applyBorder="1" applyAlignment="1">
      <alignment horizontal="right" vertical="center" wrapText="1"/>
    </xf>
    <xf numFmtId="164" fontId="4" fillId="4" borderId="27" xfId="0" applyNumberFormat="1" applyFont="1" applyFill="1" applyBorder="1" applyAlignment="1">
      <alignment horizontal="right" vertical="center" wrapText="1"/>
    </xf>
    <xf numFmtId="164" fontId="7" fillId="5" borderId="4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vertical="center" wrapText="1"/>
    </xf>
    <xf numFmtId="165" fontId="2" fillId="2" borderId="0" xfId="0" applyNumberFormat="1" applyFont="1" applyFill="1"/>
    <xf numFmtId="164" fontId="2" fillId="0" borderId="0" xfId="0" applyNumberFormat="1" applyFont="1"/>
    <xf numFmtId="164" fontId="2" fillId="0" borderId="1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1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13" xfId="0" applyFont="1" applyBorder="1"/>
    <xf numFmtId="164" fontId="4" fillId="2" borderId="4" xfId="0" applyNumberFormat="1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49" fontId="2" fillId="0" borderId="1" xfId="0" applyNumberFormat="1" applyFont="1" applyBorder="1" applyAlignment="1">
      <alignment vertical="top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center"/>
    </xf>
    <xf numFmtId="0" fontId="2" fillId="2" borderId="13" xfId="0" applyFont="1" applyFill="1" applyBorder="1"/>
    <xf numFmtId="0" fontId="5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 wrapText="1"/>
    </xf>
    <xf numFmtId="0" fontId="2" fillId="0" borderId="17" xfId="0" applyFont="1" applyBorder="1"/>
    <xf numFmtId="49" fontId="2" fillId="0" borderId="10" xfId="0" applyNumberFormat="1" applyFont="1" applyBorder="1" applyAlignment="1">
      <alignment vertical="top" wrapText="1"/>
    </xf>
    <xf numFmtId="164" fontId="2" fillId="0" borderId="10" xfId="0" applyNumberFormat="1" applyFont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164" fontId="4" fillId="2" borderId="8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35" xfId="0" applyNumberFormat="1" applyFont="1" applyFill="1" applyBorder="1" applyAlignment="1">
      <alignment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164" fontId="4" fillId="2" borderId="16" xfId="0" applyNumberFormat="1" applyFont="1" applyFill="1" applyBorder="1" applyAlignment="1">
      <alignment horizontal="right" vertical="center" wrapText="1"/>
    </xf>
    <xf numFmtId="164" fontId="4" fillId="2" borderId="19" xfId="0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0" fontId="2" fillId="2" borderId="17" xfId="0" applyFont="1" applyFill="1" applyBorder="1" applyAlignment="1">
      <alignment vertical="center" wrapText="1"/>
    </xf>
    <xf numFmtId="164" fontId="2" fillId="2" borderId="40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6" xfId="0" applyNumberFormat="1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/>
    </xf>
    <xf numFmtId="164" fontId="7" fillId="3" borderId="34" xfId="0" applyNumberFormat="1" applyFont="1" applyFill="1" applyBorder="1" applyAlignment="1">
      <alignment horizontal="right" vertical="center" wrapText="1"/>
    </xf>
    <xf numFmtId="164" fontId="7" fillId="3" borderId="11" xfId="0" applyNumberFormat="1" applyFont="1" applyFill="1" applyBorder="1" applyAlignment="1">
      <alignment horizontal="right" vertical="center" wrapText="1"/>
    </xf>
    <xf numFmtId="164" fontId="7" fillId="3" borderId="35" xfId="0" applyNumberFormat="1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4" fillId="2" borderId="34" xfId="0" applyNumberFormat="1" applyFont="1" applyFill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right" vertical="center" wrapText="1"/>
    </xf>
    <xf numFmtId="164" fontId="4" fillId="2" borderId="35" xfId="0" applyNumberFormat="1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64" fontId="2" fillId="0" borderId="34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35" xfId="0" applyNumberFormat="1" applyFont="1" applyFill="1" applyBorder="1" applyAlignment="1">
      <alignment horizontal="right" vertical="center" wrapText="1"/>
    </xf>
    <xf numFmtId="164" fontId="3" fillId="2" borderId="34" xfId="0" applyNumberFormat="1" applyFont="1" applyFill="1" applyBorder="1" applyAlignment="1">
      <alignment horizontal="right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35" xfId="0" applyNumberFormat="1" applyFont="1" applyFill="1" applyBorder="1" applyAlignment="1">
      <alignment horizontal="righ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164" fontId="2" fillId="0" borderId="40" xfId="0" applyNumberFormat="1" applyFon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6" fillId="2" borderId="48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JN55"/>
  <sheetViews>
    <sheetView tabSelected="1" zoomScale="61" zoomScaleNormal="61" workbookViewId="0">
      <selection activeCell="B3" sqref="B3:I3"/>
    </sheetView>
  </sheetViews>
  <sheetFormatPr defaultColWidth="9.140625" defaultRowHeight="12.75" x14ac:dyDescent="0.2"/>
  <cols>
    <col min="1" max="1" width="9.140625" style="1"/>
    <col min="2" max="2" width="4.140625" style="1" customWidth="1"/>
    <col min="3" max="3" width="60.42578125" style="1" customWidth="1"/>
    <col min="4" max="4" width="18.28515625" style="1" customWidth="1"/>
    <col min="5" max="5" width="17" style="1" customWidth="1"/>
    <col min="6" max="7" width="15.140625" style="1" customWidth="1"/>
    <col min="8" max="8" width="20.42578125" style="2" bestFit="1" customWidth="1"/>
    <col min="9" max="9" width="21.85546875" style="1" customWidth="1"/>
    <col min="10" max="10" width="24.42578125" style="2" customWidth="1"/>
    <col min="11" max="11" width="9.140625" style="1" customWidth="1"/>
    <col min="12" max="13" width="11.5703125" style="1" customWidth="1"/>
    <col min="14" max="23" width="9.140625" style="1" customWidth="1"/>
    <col min="24" max="16384" width="9.140625" style="1"/>
  </cols>
  <sheetData>
    <row r="1" spans="1:274" ht="93" customHeight="1" x14ac:dyDescent="0.2">
      <c r="B1" s="127" t="s">
        <v>20</v>
      </c>
      <c r="C1" s="128"/>
      <c r="D1" s="128"/>
      <c r="E1" s="128"/>
      <c r="F1" s="135" t="s">
        <v>32</v>
      </c>
      <c r="G1" s="135"/>
      <c r="H1" s="135"/>
      <c r="I1" s="135"/>
      <c r="J1" s="135"/>
    </row>
    <row r="2" spans="1:274" ht="18.75" customHeight="1" x14ac:dyDescent="0.2">
      <c r="B2" s="6"/>
      <c r="C2" s="7"/>
      <c r="D2" s="7"/>
      <c r="E2" s="7"/>
      <c r="F2" s="8"/>
      <c r="G2" s="4"/>
      <c r="H2" s="4"/>
      <c r="I2" s="4"/>
      <c r="J2" s="4"/>
    </row>
    <row r="3" spans="1:274" ht="41.25" customHeight="1" thickBot="1" x14ac:dyDescent="0.3">
      <c r="B3" s="129" t="s">
        <v>59</v>
      </c>
      <c r="C3" s="129"/>
      <c r="D3" s="129"/>
      <c r="E3" s="129"/>
      <c r="F3" s="129"/>
      <c r="G3" s="129"/>
      <c r="H3" s="129"/>
      <c r="I3" s="129"/>
      <c r="J3" s="1"/>
    </row>
    <row r="4" spans="1:274" ht="12.75" customHeight="1" x14ac:dyDescent="0.2">
      <c r="B4" s="130" t="s">
        <v>16</v>
      </c>
      <c r="C4" s="114" t="s">
        <v>0</v>
      </c>
      <c r="D4" s="114" t="s">
        <v>4</v>
      </c>
      <c r="E4" s="114" t="s">
        <v>5</v>
      </c>
      <c r="F4" s="114" t="s">
        <v>6</v>
      </c>
      <c r="G4" s="114" t="s">
        <v>7</v>
      </c>
      <c r="H4" s="116" t="s">
        <v>31</v>
      </c>
      <c r="I4" s="132" t="s">
        <v>30</v>
      </c>
      <c r="J4" s="108" t="s">
        <v>60</v>
      </c>
    </row>
    <row r="5" spans="1:274" ht="15.75" customHeight="1" x14ac:dyDescent="0.2">
      <c r="B5" s="131"/>
      <c r="C5" s="115"/>
      <c r="D5" s="115"/>
      <c r="E5" s="115"/>
      <c r="F5" s="115"/>
      <c r="G5" s="115"/>
      <c r="H5" s="117"/>
      <c r="I5" s="133"/>
      <c r="J5" s="109"/>
    </row>
    <row r="6" spans="1:274" ht="70.5" customHeight="1" thickBot="1" x14ac:dyDescent="0.25">
      <c r="B6" s="131"/>
      <c r="C6" s="115"/>
      <c r="D6" s="115"/>
      <c r="E6" s="115"/>
      <c r="F6" s="115"/>
      <c r="G6" s="115"/>
      <c r="H6" s="117"/>
      <c r="I6" s="134"/>
      <c r="J6" s="110"/>
    </row>
    <row r="7" spans="1:274" ht="31.5" customHeight="1" thickBot="1" x14ac:dyDescent="0.25">
      <c r="B7" s="99" t="s">
        <v>35</v>
      </c>
      <c r="C7" s="100"/>
      <c r="D7" s="100"/>
      <c r="E7" s="100"/>
      <c r="F7" s="100"/>
      <c r="G7" s="101"/>
      <c r="H7" s="51">
        <f>H8+H26</f>
        <v>8776784.6400000006</v>
      </c>
      <c r="I7" s="51">
        <f>I8+I26</f>
        <v>8059393.4499999993</v>
      </c>
      <c r="J7" s="53">
        <f>H7-I7</f>
        <v>717391.19000000134</v>
      </c>
    </row>
    <row r="8" spans="1:274" ht="21" customHeight="1" thickBot="1" x14ac:dyDescent="0.25">
      <c r="B8" s="124"/>
      <c r="C8" s="125"/>
      <c r="D8" s="125"/>
      <c r="E8" s="125"/>
      <c r="F8" s="125"/>
      <c r="G8" s="126"/>
      <c r="H8" s="49">
        <f>H25</f>
        <v>6771087.96</v>
      </c>
      <c r="I8" s="52">
        <f>I25</f>
        <v>6148480.2399999993</v>
      </c>
      <c r="J8" s="50">
        <f>J25</f>
        <v>622607.72000000067</v>
      </c>
    </row>
    <row r="9" spans="1:274" s="5" customFormat="1" ht="21" customHeight="1" x14ac:dyDescent="0.2">
      <c r="A9" s="104" t="s">
        <v>42</v>
      </c>
      <c r="B9" s="81">
        <v>1</v>
      </c>
      <c r="C9" s="14" t="s">
        <v>8</v>
      </c>
      <c r="D9" s="118">
        <f>375000*3</f>
        <v>1125000</v>
      </c>
      <c r="E9" s="118">
        <f t="shared" ref="E9:G9" si="0">375000*3</f>
        <v>1125000</v>
      </c>
      <c r="F9" s="118">
        <f t="shared" si="0"/>
        <v>1125000</v>
      </c>
      <c r="G9" s="118">
        <f t="shared" si="0"/>
        <v>1125000</v>
      </c>
      <c r="H9" s="121">
        <f>SUM(D9:G15)</f>
        <v>4500000</v>
      </c>
      <c r="I9" s="111">
        <v>4500000</v>
      </c>
      <c r="J9" s="105">
        <f>H9-I9</f>
        <v>0</v>
      </c>
    </row>
    <row r="10" spans="1:274" s="5" customFormat="1" ht="19.5" customHeight="1" x14ac:dyDescent="0.2">
      <c r="A10" s="104"/>
      <c r="B10" s="82">
        <v>2</v>
      </c>
      <c r="C10" s="10" t="s">
        <v>9</v>
      </c>
      <c r="D10" s="119"/>
      <c r="E10" s="119"/>
      <c r="F10" s="119"/>
      <c r="G10" s="119"/>
      <c r="H10" s="122"/>
      <c r="I10" s="112"/>
      <c r="J10" s="106"/>
    </row>
    <row r="11" spans="1:274" s="5" customFormat="1" ht="18.75" customHeight="1" x14ac:dyDescent="0.2">
      <c r="A11" s="104"/>
      <c r="B11" s="80">
        <v>3</v>
      </c>
      <c r="C11" s="10" t="s">
        <v>10</v>
      </c>
      <c r="D11" s="119"/>
      <c r="E11" s="119"/>
      <c r="F11" s="119"/>
      <c r="G11" s="119"/>
      <c r="H11" s="122"/>
      <c r="I11" s="112"/>
      <c r="J11" s="106"/>
    </row>
    <row r="12" spans="1:274" s="5" customFormat="1" ht="33" customHeight="1" x14ac:dyDescent="0.2">
      <c r="A12" s="104"/>
      <c r="B12" s="82">
        <v>4</v>
      </c>
      <c r="C12" s="10" t="s">
        <v>11</v>
      </c>
      <c r="D12" s="119"/>
      <c r="E12" s="119"/>
      <c r="F12" s="119"/>
      <c r="G12" s="119"/>
      <c r="H12" s="122"/>
      <c r="I12" s="112"/>
      <c r="J12" s="106"/>
    </row>
    <row r="13" spans="1:274" s="5" customFormat="1" ht="30" customHeight="1" x14ac:dyDescent="0.2">
      <c r="A13" s="104"/>
      <c r="B13" s="80">
        <v>5</v>
      </c>
      <c r="C13" s="10" t="s">
        <v>12</v>
      </c>
      <c r="D13" s="119"/>
      <c r="E13" s="119"/>
      <c r="F13" s="119"/>
      <c r="G13" s="119"/>
      <c r="H13" s="122"/>
      <c r="I13" s="112"/>
      <c r="J13" s="106"/>
    </row>
    <row r="14" spans="1:274" s="5" customFormat="1" ht="45.75" customHeight="1" x14ac:dyDescent="0.2">
      <c r="A14" s="104"/>
      <c r="B14" s="82">
        <v>6</v>
      </c>
      <c r="C14" s="10" t="s">
        <v>23</v>
      </c>
      <c r="D14" s="119"/>
      <c r="E14" s="119"/>
      <c r="F14" s="119"/>
      <c r="G14" s="119"/>
      <c r="H14" s="122"/>
      <c r="I14" s="112"/>
      <c r="J14" s="106"/>
    </row>
    <row r="15" spans="1:274" s="5" customFormat="1" ht="19.5" customHeight="1" thickBot="1" x14ac:dyDescent="0.25">
      <c r="A15" s="104"/>
      <c r="B15" s="83">
        <v>7</v>
      </c>
      <c r="C15" s="41" t="s">
        <v>13</v>
      </c>
      <c r="D15" s="120"/>
      <c r="E15" s="120"/>
      <c r="F15" s="120"/>
      <c r="G15" s="120"/>
      <c r="H15" s="123"/>
      <c r="I15" s="113"/>
      <c r="J15" s="10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</row>
    <row r="16" spans="1:274" s="34" customFormat="1" ht="33.75" customHeight="1" x14ac:dyDescent="0.2">
      <c r="A16" s="104"/>
      <c r="B16" s="80">
        <v>8</v>
      </c>
      <c r="C16" s="9" t="s">
        <v>24</v>
      </c>
      <c r="D16" s="42">
        <f>50000*3</f>
        <v>150000</v>
      </c>
      <c r="E16" s="39">
        <f t="shared" ref="E16:G16" si="1">50000*3</f>
        <v>150000</v>
      </c>
      <c r="F16" s="39">
        <f t="shared" si="1"/>
        <v>150000</v>
      </c>
      <c r="G16" s="39">
        <f t="shared" si="1"/>
        <v>150000</v>
      </c>
      <c r="H16" s="40">
        <f>SUM(D16:G16)</f>
        <v>600000</v>
      </c>
      <c r="I16" s="85">
        <v>334270.32</v>
      </c>
      <c r="J16" s="38">
        <f>H16-I16</f>
        <v>265729.68</v>
      </c>
      <c r="K16" s="37"/>
      <c r="L16" s="37"/>
      <c r="M16" s="1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</row>
    <row r="17" spans="1:12" s="37" customFormat="1" ht="33.75" customHeight="1" x14ac:dyDescent="0.2">
      <c r="A17" s="34" t="s">
        <v>43</v>
      </c>
      <c r="B17" s="82">
        <v>9</v>
      </c>
      <c r="C17" s="10" t="s">
        <v>27</v>
      </c>
      <c r="D17" s="43">
        <f>5000*3</f>
        <v>15000</v>
      </c>
      <c r="E17" s="43">
        <f t="shared" ref="E17:G17" si="2">5000*3</f>
        <v>15000</v>
      </c>
      <c r="F17" s="43">
        <f t="shared" si="2"/>
        <v>15000</v>
      </c>
      <c r="G17" s="43">
        <f t="shared" si="2"/>
        <v>15000</v>
      </c>
      <c r="H17" s="35">
        <f>SUM(D17:G17)</f>
        <v>60000</v>
      </c>
      <c r="I17" s="86">
        <v>16032.06</v>
      </c>
      <c r="J17" s="36">
        <f t="shared" ref="J17:J35" si="3">H17-I17</f>
        <v>43967.94</v>
      </c>
      <c r="K17" s="5"/>
    </row>
    <row r="18" spans="1:12" s="5" customFormat="1" ht="24.75" customHeight="1" thickBot="1" x14ac:dyDescent="0.25">
      <c r="A18" s="34" t="s">
        <v>44</v>
      </c>
      <c r="B18" s="80">
        <v>10</v>
      </c>
      <c r="C18" s="32" t="s">
        <v>14</v>
      </c>
      <c r="D18" s="44">
        <f>(2070.43+216.67)*3</f>
        <v>6861.2999999999993</v>
      </c>
      <c r="E18" s="44">
        <f t="shared" ref="E18:G18" si="4">(2070.43+216.67)*3</f>
        <v>6861.2999999999993</v>
      </c>
      <c r="F18" s="44">
        <f t="shared" si="4"/>
        <v>6861.2999999999993</v>
      </c>
      <c r="G18" s="44">
        <f t="shared" si="4"/>
        <v>6861.2999999999993</v>
      </c>
      <c r="H18" s="31">
        <f t="shared" ref="H18:H24" si="5">SUM(D18:G18)</f>
        <v>27445.199999999997</v>
      </c>
      <c r="I18" s="87">
        <v>27445.16</v>
      </c>
      <c r="J18" s="33">
        <f t="shared" si="3"/>
        <v>3.9999999997235136E-2</v>
      </c>
    </row>
    <row r="19" spans="1:12" s="5" customFormat="1" ht="27.75" customHeight="1" x14ac:dyDescent="0.2">
      <c r="A19" s="34" t="s">
        <v>47</v>
      </c>
      <c r="B19" s="81">
        <v>11</v>
      </c>
      <c r="C19" s="9" t="s">
        <v>15</v>
      </c>
      <c r="D19" s="45">
        <f>(59007+623.8+191.67+3008.04+18000+13500)*3</f>
        <v>282991.53000000003</v>
      </c>
      <c r="E19" s="45">
        <f t="shared" ref="E19:G19" si="6">(59007+623.8+191.67+3008.04+18000+13500)*3</f>
        <v>282991.53000000003</v>
      </c>
      <c r="F19" s="45">
        <f t="shared" si="6"/>
        <v>282991.53000000003</v>
      </c>
      <c r="G19" s="45">
        <f t="shared" si="6"/>
        <v>282991.53000000003</v>
      </c>
      <c r="H19" s="55">
        <f>SUM(D19+E19+F19+G19)</f>
        <v>1131966.1200000001</v>
      </c>
      <c r="I19" s="85">
        <v>770878.06</v>
      </c>
      <c r="J19" s="38">
        <f>H19-I19</f>
        <v>361088.06000000006</v>
      </c>
    </row>
    <row r="20" spans="1:12" s="5" customFormat="1" ht="39" thickBot="1" x14ac:dyDescent="0.25">
      <c r="A20" s="34" t="s">
        <v>48</v>
      </c>
      <c r="B20" s="82">
        <v>12</v>
      </c>
      <c r="C20" s="12" t="s">
        <v>25</v>
      </c>
      <c r="D20" s="46">
        <f>(4794.76+1760)*3</f>
        <v>19664.28</v>
      </c>
      <c r="E20" s="13">
        <f t="shared" ref="E20:G20" si="7">(4794.76+1760)*3</f>
        <v>19664.28</v>
      </c>
      <c r="F20" s="13">
        <f t="shared" si="7"/>
        <v>19664.28</v>
      </c>
      <c r="G20" s="13">
        <f t="shared" si="7"/>
        <v>19664.28</v>
      </c>
      <c r="H20" s="54">
        <f t="shared" si="5"/>
        <v>78657.119999999995</v>
      </c>
      <c r="I20" s="88">
        <v>78657.119999999995</v>
      </c>
      <c r="J20" s="24">
        <f t="shared" si="3"/>
        <v>0</v>
      </c>
    </row>
    <row r="21" spans="1:12" s="5" customFormat="1" ht="17.25" customHeight="1" x14ac:dyDescent="0.2">
      <c r="A21" s="34" t="s">
        <v>45</v>
      </c>
      <c r="B21" s="81">
        <v>13</v>
      </c>
      <c r="C21" s="14" t="s">
        <v>22</v>
      </c>
      <c r="D21" s="47">
        <f>10847.46*3</f>
        <v>32542.379999999997</v>
      </c>
      <c r="E21" s="15">
        <f t="shared" ref="E21:G21" si="8">10847.46*3</f>
        <v>32542.379999999997</v>
      </c>
      <c r="F21" s="15">
        <f t="shared" si="8"/>
        <v>32542.379999999997</v>
      </c>
      <c r="G21" s="15">
        <f t="shared" si="8"/>
        <v>32542.379999999997</v>
      </c>
      <c r="H21" s="30">
        <f t="shared" si="5"/>
        <v>130169.51999999999</v>
      </c>
      <c r="I21" s="89">
        <v>186201.52</v>
      </c>
      <c r="J21" s="25">
        <f t="shared" si="3"/>
        <v>-56032</v>
      </c>
      <c r="L21" s="56"/>
    </row>
    <row r="22" spans="1:12" s="5" customFormat="1" ht="18.75" customHeight="1" x14ac:dyDescent="0.2">
      <c r="A22" s="34" t="s">
        <v>46</v>
      </c>
      <c r="B22" s="84">
        <v>14</v>
      </c>
      <c r="C22" s="9" t="s">
        <v>41</v>
      </c>
      <c r="D22" s="45">
        <f>(850)*3</f>
        <v>2550</v>
      </c>
      <c r="E22" s="45">
        <f t="shared" ref="E22:F22" si="9">(850)*3</f>
        <v>2550</v>
      </c>
      <c r="F22" s="45">
        <f t="shared" si="9"/>
        <v>2550</v>
      </c>
      <c r="G22" s="45">
        <f>(850)*3</f>
        <v>2550</v>
      </c>
      <c r="H22" s="18">
        <f t="shared" si="5"/>
        <v>10200</v>
      </c>
      <c r="I22" s="85">
        <v>0</v>
      </c>
      <c r="J22" s="38">
        <f t="shared" si="3"/>
        <v>10200</v>
      </c>
    </row>
    <row r="23" spans="1:12" s="5" customFormat="1" ht="15.75" x14ac:dyDescent="0.2">
      <c r="A23" s="34" t="s">
        <v>49</v>
      </c>
      <c r="B23" s="84">
        <v>15</v>
      </c>
      <c r="C23" s="12" t="s">
        <v>17</v>
      </c>
      <c r="D23" s="46">
        <f>4887.5*3</f>
        <v>14662.5</v>
      </c>
      <c r="E23" s="46">
        <f t="shared" ref="E23:G23" si="10">4887.5*3</f>
        <v>14662.5</v>
      </c>
      <c r="F23" s="46">
        <f t="shared" si="10"/>
        <v>14662.5</v>
      </c>
      <c r="G23" s="46">
        <f t="shared" si="10"/>
        <v>14662.5</v>
      </c>
      <c r="H23" s="19">
        <f t="shared" ref="H23" si="11">SUM(D23:G23)</f>
        <v>58650</v>
      </c>
      <c r="I23" s="88">
        <v>60996</v>
      </c>
      <c r="J23" s="24">
        <f t="shared" si="3"/>
        <v>-2346</v>
      </c>
    </row>
    <row r="24" spans="1:12" s="5" customFormat="1" ht="16.5" thickBot="1" x14ac:dyDescent="0.25">
      <c r="A24" s="34" t="s">
        <v>50</v>
      </c>
      <c r="B24" s="84">
        <v>16</v>
      </c>
      <c r="C24" s="12" t="s">
        <v>29</v>
      </c>
      <c r="D24" s="46">
        <f>14500*3</f>
        <v>43500</v>
      </c>
      <c r="E24" s="13">
        <f t="shared" ref="E24:G24" si="12">14500*3</f>
        <v>43500</v>
      </c>
      <c r="F24" s="13">
        <f t="shared" si="12"/>
        <v>43500</v>
      </c>
      <c r="G24" s="13">
        <f t="shared" si="12"/>
        <v>43500</v>
      </c>
      <c r="H24" s="19">
        <f t="shared" si="5"/>
        <v>174000</v>
      </c>
      <c r="I24" s="88">
        <v>174000</v>
      </c>
      <c r="J24" s="24">
        <f t="shared" si="3"/>
        <v>0</v>
      </c>
    </row>
    <row r="25" spans="1:12" ht="19.5" customHeight="1" thickBot="1" x14ac:dyDescent="0.25">
      <c r="B25" s="102" t="s">
        <v>1</v>
      </c>
      <c r="C25" s="103"/>
      <c r="D25" s="3">
        <f>SUM(D9:D24)</f>
        <v>1692771.99</v>
      </c>
      <c r="E25" s="3">
        <f t="shared" ref="E25:G25" si="13">SUM(E9:E24)</f>
        <v>1692771.99</v>
      </c>
      <c r="F25" s="3">
        <f t="shared" si="13"/>
        <v>1692771.99</v>
      </c>
      <c r="G25" s="3">
        <f t="shared" si="13"/>
        <v>1692771.99</v>
      </c>
      <c r="H25" s="20">
        <f>SUM(H9:H24)</f>
        <v>6771087.96</v>
      </c>
      <c r="I25" s="64">
        <f>SUM(I9:I24)</f>
        <v>6148480.2399999993</v>
      </c>
      <c r="J25" s="26">
        <f t="shared" si="3"/>
        <v>622607.72000000067</v>
      </c>
    </row>
    <row r="26" spans="1:12" ht="19.5" customHeight="1" thickBot="1" x14ac:dyDescent="0.25">
      <c r="B26" s="124" t="s">
        <v>36</v>
      </c>
      <c r="C26" s="125"/>
      <c r="D26" s="125"/>
      <c r="E26" s="125"/>
      <c r="F26" s="125"/>
      <c r="G26" s="126"/>
      <c r="H26" s="49">
        <f>H35</f>
        <v>2005696.6799999997</v>
      </c>
      <c r="I26" s="49">
        <f>I35</f>
        <v>1910913.2100000002</v>
      </c>
      <c r="J26" s="50">
        <f t="shared" si="3"/>
        <v>94783.469999999506</v>
      </c>
    </row>
    <row r="27" spans="1:12" ht="48" customHeight="1" x14ac:dyDescent="0.2">
      <c r="A27" s="1" t="s">
        <v>51</v>
      </c>
      <c r="B27" s="16">
        <v>17</v>
      </c>
      <c r="C27" s="9" t="s">
        <v>26</v>
      </c>
      <c r="D27" s="45">
        <f>(146084.4+300)*3</f>
        <v>439153.19999999995</v>
      </c>
      <c r="E27" s="45">
        <f t="shared" ref="E27:G27" si="14">(146084.4+300)*3</f>
        <v>439153.19999999995</v>
      </c>
      <c r="F27" s="45">
        <f t="shared" si="14"/>
        <v>439153.19999999995</v>
      </c>
      <c r="G27" s="45">
        <f t="shared" si="14"/>
        <v>439153.19999999995</v>
      </c>
      <c r="H27" s="21">
        <f>SUM(D27:G27)</f>
        <v>1756612.7999999998</v>
      </c>
      <c r="I27" s="65">
        <v>1733845.3</v>
      </c>
      <c r="J27" s="27">
        <f t="shared" si="3"/>
        <v>22767.499999999767</v>
      </c>
      <c r="L27" s="57"/>
    </row>
    <row r="28" spans="1:12" ht="24.75" customHeight="1" x14ac:dyDescent="0.2">
      <c r="A28" s="1" t="s">
        <v>52</v>
      </c>
      <c r="B28" s="16">
        <v>18</v>
      </c>
      <c r="C28" s="10" t="s">
        <v>2</v>
      </c>
      <c r="D28" s="48">
        <f>8333.33*3</f>
        <v>24999.989999999998</v>
      </c>
      <c r="E28" s="48">
        <f t="shared" ref="E28:G28" si="15">8333.33*3</f>
        <v>24999.989999999998</v>
      </c>
      <c r="F28" s="48">
        <f t="shared" si="15"/>
        <v>24999.989999999998</v>
      </c>
      <c r="G28" s="48">
        <f t="shared" si="15"/>
        <v>24999.989999999998</v>
      </c>
      <c r="H28" s="22">
        <f t="shared" ref="H28:H34" si="16">SUM(D28:G28)</f>
        <v>99999.959999999992</v>
      </c>
      <c r="I28" s="65">
        <v>56000</v>
      </c>
      <c r="J28" s="28">
        <f t="shared" si="3"/>
        <v>43999.959999999992</v>
      </c>
    </row>
    <row r="29" spans="1:12" ht="18.75" customHeight="1" x14ac:dyDescent="0.2">
      <c r="A29" s="1" t="s">
        <v>57</v>
      </c>
      <c r="B29" s="16">
        <v>19</v>
      </c>
      <c r="C29" s="10" t="s">
        <v>33</v>
      </c>
      <c r="D29" s="48">
        <f>1000*3</f>
        <v>3000</v>
      </c>
      <c r="E29" s="48">
        <f t="shared" ref="E29:G29" si="17">1000*3</f>
        <v>3000</v>
      </c>
      <c r="F29" s="48">
        <f t="shared" si="17"/>
        <v>3000</v>
      </c>
      <c r="G29" s="48">
        <f t="shared" si="17"/>
        <v>3000</v>
      </c>
      <c r="H29" s="22">
        <f t="shared" si="16"/>
        <v>12000</v>
      </c>
      <c r="I29" s="65">
        <v>11892.08</v>
      </c>
      <c r="J29" s="28">
        <f t="shared" si="3"/>
        <v>107.92000000000007</v>
      </c>
    </row>
    <row r="30" spans="1:12" ht="19.5" customHeight="1" x14ac:dyDescent="0.2">
      <c r="A30" s="1" t="s">
        <v>53</v>
      </c>
      <c r="B30" s="16">
        <v>20</v>
      </c>
      <c r="C30" s="10" t="s">
        <v>19</v>
      </c>
      <c r="D30" s="48">
        <f>2500*3</f>
        <v>7500</v>
      </c>
      <c r="E30" s="17">
        <f t="shared" ref="E30:G30" si="18">2500*3</f>
        <v>7500</v>
      </c>
      <c r="F30" s="17">
        <f t="shared" si="18"/>
        <v>7500</v>
      </c>
      <c r="G30" s="17">
        <f t="shared" si="18"/>
        <v>7500</v>
      </c>
      <c r="H30" s="22">
        <f t="shared" si="16"/>
        <v>30000</v>
      </c>
      <c r="I30" s="65">
        <v>12191.83</v>
      </c>
      <c r="J30" s="28">
        <f t="shared" si="3"/>
        <v>17808.169999999998</v>
      </c>
    </row>
    <row r="31" spans="1:12" ht="17.25" customHeight="1" x14ac:dyDescent="0.2">
      <c r="A31" s="1" t="s">
        <v>54</v>
      </c>
      <c r="B31" s="16">
        <v>21</v>
      </c>
      <c r="C31" s="10" t="s">
        <v>3</v>
      </c>
      <c r="D31" s="48">
        <f>2915*3</f>
        <v>8745</v>
      </c>
      <c r="E31" s="48">
        <f t="shared" ref="E31:G31" si="19">2915*3</f>
        <v>8745</v>
      </c>
      <c r="F31" s="48">
        <f t="shared" si="19"/>
        <v>8745</v>
      </c>
      <c r="G31" s="48">
        <f t="shared" si="19"/>
        <v>8745</v>
      </c>
      <c r="H31" s="22">
        <f t="shared" si="16"/>
        <v>34980</v>
      </c>
      <c r="I31" s="65">
        <v>33904</v>
      </c>
      <c r="J31" s="28">
        <f t="shared" si="3"/>
        <v>1076</v>
      </c>
    </row>
    <row r="32" spans="1:12" ht="28.5" customHeight="1" x14ac:dyDescent="0.2">
      <c r="A32" s="1" t="s">
        <v>55</v>
      </c>
      <c r="B32" s="16">
        <v>22</v>
      </c>
      <c r="C32" s="10" t="s">
        <v>28</v>
      </c>
      <c r="D32" s="48">
        <f>(3917)*3</f>
        <v>11751</v>
      </c>
      <c r="E32" s="48">
        <f t="shared" ref="E32:G32" si="20">(3917)*3</f>
        <v>11751</v>
      </c>
      <c r="F32" s="48">
        <f t="shared" si="20"/>
        <v>11751</v>
      </c>
      <c r="G32" s="48">
        <f t="shared" si="20"/>
        <v>11751</v>
      </c>
      <c r="H32" s="22">
        <f t="shared" si="16"/>
        <v>47004</v>
      </c>
      <c r="I32" s="65">
        <v>46131</v>
      </c>
      <c r="J32" s="28">
        <f t="shared" si="3"/>
        <v>873</v>
      </c>
    </row>
    <row r="33" spans="1:13" ht="28.5" customHeight="1" x14ac:dyDescent="0.2">
      <c r="A33" s="1" t="s">
        <v>56</v>
      </c>
      <c r="B33" s="16">
        <v>23</v>
      </c>
      <c r="C33" s="12" t="s">
        <v>34</v>
      </c>
      <c r="D33" s="46">
        <f>(817.27+774.39)*3</f>
        <v>4774.9799999999996</v>
      </c>
      <c r="E33" s="46">
        <f t="shared" ref="E33:G33" si="21">(817.27+774.39)*3</f>
        <v>4774.9799999999996</v>
      </c>
      <c r="F33" s="46">
        <f t="shared" si="21"/>
        <v>4774.9799999999996</v>
      </c>
      <c r="G33" s="46">
        <f t="shared" si="21"/>
        <v>4774.9799999999996</v>
      </c>
      <c r="H33" s="22">
        <f t="shared" si="16"/>
        <v>19099.919999999998</v>
      </c>
      <c r="I33" s="90">
        <v>14464</v>
      </c>
      <c r="J33" s="28">
        <f t="shared" si="3"/>
        <v>4635.9199999999983</v>
      </c>
    </row>
    <row r="34" spans="1:13" s="5" customFormat="1" ht="16.5" customHeight="1" thickBot="1" x14ac:dyDescent="0.25">
      <c r="B34" s="16">
        <v>24</v>
      </c>
      <c r="C34" s="12" t="s">
        <v>18</v>
      </c>
      <c r="D34" s="46">
        <v>1500</v>
      </c>
      <c r="E34" s="13">
        <v>1500</v>
      </c>
      <c r="F34" s="13">
        <v>1500</v>
      </c>
      <c r="G34" s="13">
        <v>1500</v>
      </c>
      <c r="H34" s="22">
        <f t="shared" si="16"/>
        <v>6000</v>
      </c>
      <c r="I34" s="90">
        <v>2485</v>
      </c>
      <c r="J34" s="29">
        <f t="shared" si="3"/>
        <v>3515</v>
      </c>
    </row>
    <row r="35" spans="1:13" ht="15" customHeight="1" thickBot="1" x14ac:dyDescent="0.25">
      <c r="B35" s="102" t="s">
        <v>1</v>
      </c>
      <c r="C35" s="103"/>
      <c r="D35" s="3">
        <f t="shared" ref="D35:I35" si="22">SUM(D27:D34)</f>
        <v>501424.16999999993</v>
      </c>
      <c r="E35" s="3">
        <f t="shared" si="22"/>
        <v>501424.16999999993</v>
      </c>
      <c r="F35" s="3">
        <f t="shared" si="22"/>
        <v>501424.16999999993</v>
      </c>
      <c r="G35" s="3">
        <f t="shared" si="22"/>
        <v>501424.16999999993</v>
      </c>
      <c r="H35" s="20">
        <f t="shared" si="22"/>
        <v>2005696.6799999997</v>
      </c>
      <c r="I35" s="91">
        <f t="shared" si="22"/>
        <v>1910913.2100000002</v>
      </c>
      <c r="J35" s="26">
        <f t="shared" si="3"/>
        <v>94783.469999999506</v>
      </c>
    </row>
    <row r="36" spans="1:13" ht="23.45" customHeight="1" thickBot="1" x14ac:dyDescent="0.25">
      <c r="B36" s="99" t="s">
        <v>37</v>
      </c>
      <c r="C36" s="100"/>
      <c r="D36" s="100"/>
      <c r="E36" s="100"/>
      <c r="F36" s="100"/>
      <c r="G36" s="101"/>
      <c r="H36" s="51">
        <f>H37</f>
        <v>1536429.67</v>
      </c>
      <c r="I36" s="51">
        <v>1538999</v>
      </c>
      <c r="J36" s="53">
        <f t="shared" ref="J36:J38" si="23">H36-I36</f>
        <v>-2569.3300000000745</v>
      </c>
    </row>
    <row r="37" spans="1:13" ht="24.75" customHeight="1" thickBot="1" x14ac:dyDescent="0.25">
      <c r="A37" s="1" t="s">
        <v>58</v>
      </c>
      <c r="B37" s="16">
        <v>25</v>
      </c>
      <c r="C37" s="10" t="s">
        <v>21</v>
      </c>
      <c r="D37" s="48">
        <f>128035.805*3</f>
        <v>384107.41499999998</v>
      </c>
      <c r="E37" s="48">
        <f t="shared" ref="E37:F37" si="24">128035.805*3</f>
        <v>384107.41499999998</v>
      </c>
      <c r="F37" s="48">
        <f t="shared" si="24"/>
        <v>384107.41499999998</v>
      </c>
      <c r="G37" s="48">
        <f>128035.805*3+0.01</f>
        <v>384107.42499999999</v>
      </c>
      <c r="H37" s="23">
        <f>SUM(D37:G37)</f>
        <v>1536429.67</v>
      </c>
      <c r="I37" s="64">
        <v>1538999</v>
      </c>
      <c r="J37" s="28">
        <f t="shared" si="23"/>
        <v>-2569.3300000000745</v>
      </c>
    </row>
    <row r="38" spans="1:13" ht="15" customHeight="1" thickBot="1" x14ac:dyDescent="0.25">
      <c r="B38" s="102" t="s">
        <v>1</v>
      </c>
      <c r="C38" s="103"/>
      <c r="D38" s="3">
        <f>SUM(D37)</f>
        <v>384107.41499999998</v>
      </c>
      <c r="E38" s="3">
        <f t="shared" ref="E38:H38" si="25">SUM(E37)</f>
        <v>384107.41499999998</v>
      </c>
      <c r="F38" s="3">
        <f t="shared" si="25"/>
        <v>384107.41499999998</v>
      </c>
      <c r="G38" s="3">
        <f t="shared" si="25"/>
        <v>384107.42499999999</v>
      </c>
      <c r="H38" s="3">
        <f t="shared" si="25"/>
        <v>1536429.67</v>
      </c>
      <c r="I38" s="64">
        <v>1538999</v>
      </c>
      <c r="J38" s="26">
        <f t="shared" si="23"/>
        <v>-2569.3300000000745</v>
      </c>
    </row>
    <row r="39" spans="1:13" ht="29.45" customHeight="1" thickBot="1" x14ac:dyDescent="0.3">
      <c r="B39" s="140" t="s">
        <v>75</v>
      </c>
      <c r="C39" s="140"/>
      <c r="D39" s="140"/>
      <c r="E39" s="140"/>
      <c r="F39" s="140"/>
      <c r="G39" s="60"/>
      <c r="H39" s="62"/>
    </row>
    <row r="40" spans="1:13" s="5" customFormat="1" ht="61.15" customHeight="1" x14ac:dyDescent="0.25">
      <c r="B40" s="72"/>
      <c r="C40" s="74" t="s">
        <v>40</v>
      </c>
      <c r="D40" s="69" t="s">
        <v>61</v>
      </c>
      <c r="E40" s="69" t="s">
        <v>62</v>
      </c>
      <c r="F40" s="75" t="s">
        <v>63</v>
      </c>
      <c r="G40" s="1"/>
      <c r="H40" s="2"/>
      <c r="I40" s="1"/>
      <c r="J40" s="2"/>
      <c r="K40" s="66"/>
      <c r="L40" s="66"/>
      <c r="M40" s="37"/>
    </row>
    <row r="41" spans="1:13" ht="39.6" customHeight="1" x14ac:dyDescent="0.2">
      <c r="B41" s="73"/>
      <c r="C41" s="71" t="s">
        <v>38</v>
      </c>
      <c r="D41" s="17">
        <f>H7</f>
        <v>8776784.6400000006</v>
      </c>
      <c r="E41" s="17">
        <f>I7</f>
        <v>8059393.4499999993</v>
      </c>
      <c r="F41" s="70">
        <f>D41-E41</f>
        <v>717391.19000000134</v>
      </c>
      <c r="G41" s="57"/>
    </row>
    <row r="42" spans="1:13" ht="37.9" customHeight="1" x14ac:dyDescent="0.2">
      <c r="B42" s="63"/>
      <c r="C42" s="68" t="s">
        <v>66</v>
      </c>
      <c r="D42" s="58">
        <v>1536429.67</v>
      </c>
      <c r="E42" s="58">
        <f>I38</f>
        <v>1538999</v>
      </c>
      <c r="F42" s="70">
        <f>D42-E42</f>
        <v>-2569.3300000000745</v>
      </c>
    </row>
    <row r="43" spans="1:13" ht="19.899999999999999" customHeight="1" x14ac:dyDescent="0.2">
      <c r="B43" s="77"/>
      <c r="C43" s="78" t="s">
        <v>64</v>
      </c>
      <c r="D43" s="79">
        <f>D41+D42</f>
        <v>10313214.310000001</v>
      </c>
      <c r="E43" s="79">
        <f>E41+E42</f>
        <v>9598392.4499999993</v>
      </c>
      <c r="F43" s="136">
        <f>F41+F42</f>
        <v>714821.86000000127</v>
      </c>
      <c r="G43" s="57"/>
    </row>
    <row r="44" spans="1:13" ht="28.15" customHeight="1" thickBot="1" x14ac:dyDescent="0.25">
      <c r="B44" s="138" t="s">
        <v>65</v>
      </c>
      <c r="C44" s="139"/>
      <c r="D44" s="139"/>
      <c r="E44" s="139"/>
      <c r="F44" s="137"/>
    </row>
    <row r="45" spans="1:13" ht="13.5" thickBot="1" x14ac:dyDescent="0.25">
      <c r="G45" s="60"/>
      <c r="H45" s="62"/>
    </row>
    <row r="46" spans="1:13" ht="38.450000000000003" customHeight="1" thickBot="1" x14ac:dyDescent="0.3">
      <c r="B46" s="141" t="s">
        <v>76</v>
      </c>
      <c r="C46" s="140"/>
      <c r="D46" s="140"/>
      <c r="E46" s="140"/>
      <c r="F46" s="142"/>
      <c r="G46" s="60"/>
      <c r="H46" s="62"/>
    </row>
    <row r="47" spans="1:13" ht="49.9" customHeight="1" x14ac:dyDescent="0.2">
      <c r="B47" s="92"/>
      <c r="C47" s="93" t="s">
        <v>73</v>
      </c>
      <c r="D47" s="69" t="s">
        <v>71</v>
      </c>
      <c r="E47" s="69" t="s">
        <v>68</v>
      </c>
      <c r="F47" s="75" t="s">
        <v>69</v>
      </c>
      <c r="G47" s="60"/>
      <c r="H47" s="60"/>
      <c r="I47" s="60"/>
      <c r="J47" s="1"/>
      <c r="K47" s="59"/>
      <c r="L47" s="59"/>
      <c r="M47" s="60"/>
    </row>
    <row r="48" spans="1:13" ht="41.25" customHeight="1" x14ac:dyDescent="0.2">
      <c r="B48" s="11">
        <v>1</v>
      </c>
      <c r="C48" s="10" t="s">
        <v>39</v>
      </c>
      <c r="D48" s="17">
        <f>H7</f>
        <v>8776784.6400000006</v>
      </c>
      <c r="E48" s="17">
        <v>8757520.3499999996</v>
      </c>
      <c r="F48" s="76">
        <v>8152823.6799999997</v>
      </c>
      <c r="G48" s="60"/>
      <c r="H48" s="60"/>
      <c r="I48" s="60"/>
      <c r="J48" s="1"/>
      <c r="K48" s="59"/>
      <c r="L48" s="59"/>
      <c r="M48" s="60"/>
    </row>
    <row r="49" spans="2:13" ht="41.25" customHeight="1" x14ac:dyDescent="0.2">
      <c r="B49" s="11">
        <v>2</v>
      </c>
      <c r="C49" s="10" t="s">
        <v>67</v>
      </c>
      <c r="D49" s="17">
        <f>D42</f>
        <v>1536429.67</v>
      </c>
      <c r="E49" s="17">
        <v>1535820.93</v>
      </c>
      <c r="F49" s="76">
        <v>1448298.58</v>
      </c>
      <c r="G49" s="60"/>
      <c r="H49" s="60"/>
      <c r="I49" s="60"/>
      <c r="J49" s="1"/>
      <c r="K49" s="59"/>
      <c r="L49" s="59"/>
      <c r="M49" s="60"/>
    </row>
    <row r="50" spans="2:13" ht="41.25" customHeight="1" x14ac:dyDescent="0.2">
      <c r="B50" s="11">
        <v>3</v>
      </c>
      <c r="C50" s="10" t="s">
        <v>70</v>
      </c>
      <c r="D50" s="17">
        <v>559045.43999999994</v>
      </c>
      <c r="E50" s="17">
        <v>557843.56999999995</v>
      </c>
      <c r="F50" s="76">
        <v>519156.03</v>
      </c>
      <c r="G50" s="60"/>
      <c r="H50" s="60"/>
      <c r="I50" s="60"/>
      <c r="J50" s="1"/>
      <c r="K50" s="59"/>
      <c r="L50" s="59"/>
      <c r="M50" s="60"/>
    </row>
    <row r="51" spans="2:13" ht="41.25" customHeight="1" x14ac:dyDescent="0.2">
      <c r="B51" s="11">
        <v>4</v>
      </c>
      <c r="C51" s="10" t="s">
        <v>74</v>
      </c>
      <c r="D51" s="17">
        <v>1901453.3</v>
      </c>
      <c r="E51" s="17">
        <v>1891319.62</v>
      </c>
      <c r="F51" s="76">
        <v>1559743.75</v>
      </c>
      <c r="G51" s="60"/>
      <c r="H51" s="60"/>
      <c r="I51" s="60"/>
      <c r="J51" s="1"/>
      <c r="K51" s="59"/>
      <c r="L51" s="59"/>
      <c r="M51" s="60"/>
    </row>
    <row r="52" spans="2:13" ht="32.25" customHeight="1" thickBot="1" x14ac:dyDescent="0.25">
      <c r="B52" s="95">
        <v>2</v>
      </c>
      <c r="C52" s="12" t="s">
        <v>72</v>
      </c>
      <c r="D52" s="13">
        <v>76589.399999999994</v>
      </c>
      <c r="E52" s="13">
        <v>76589.399999999994</v>
      </c>
      <c r="F52" s="96">
        <v>76589.399999999994</v>
      </c>
      <c r="G52" s="60"/>
      <c r="H52" s="60"/>
      <c r="I52" s="60"/>
      <c r="J52" s="1"/>
      <c r="K52" s="59"/>
      <c r="L52" s="59"/>
      <c r="M52" s="60"/>
    </row>
    <row r="53" spans="2:13" ht="15.75" thickBot="1" x14ac:dyDescent="0.25">
      <c r="B53" s="143" t="s">
        <v>1</v>
      </c>
      <c r="C53" s="144"/>
      <c r="D53" s="97">
        <f>SUM(D48:D52)</f>
        <v>12850302.450000001</v>
      </c>
      <c r="E53" s="97">
        <f>SUM(E48:E52)</f>
        <v>12819093.869999999</v>
      </c>
      <c r="F53" s="98">
        <f>SUM(F48:F52)</f>
        <v>11756611.439999999</v>
      </c>
      <c r="G53" s="94"/>
      <c r="H53" s="60"/>
      <c r="I53" s="60"/>
      <c r="J53" s="1"/>
      <c r="K53" s="61"/>
      <c r="L53" s="61"/>
      <c r="M53" s="60"/>
    </row>
    <row r="54" spans="2:13" s="5" customFormat="1" ht="13.15" customHeight="1" x14ac:dyDescent="0.25">
      <c r="B54" s="67"/>
      <c r="C54" s="67"/>
      <c r="D54" s="67"/>
      <c r="E54" s="67"/>
      <c r="F54" s="67"/>
      <c r="G54" s="37"/>
      <c r="H54" s="37"/>
      <c r="I54" s="37"/>
      <c r="K54" s="66"/>
      <c r="L54" s="66"/>
      <c r="M54" s="37"/>
    </row>
    <row r="55" spans="2:13" ht="19.899999999999999" customHeight="1" x14ac:dyDescent="0.2"/>
  </sheetData>
  <mergeCells count="32">
    <mergeCell ref="F43:F44"/>
    <mergeCell ref="B44:E44"/>
    <mergeCell ref="B39:F39"/>
    <mergeCell ref="B46:F46"/>
    <mergeCell ref="B53:C53"/>
    <mergeCell ref="B1:E1"/>
    <mergeCell ref="B3:I3"/>
    <mergeCell ref="B4:B6"/>
    <mergeCell ref="B8:G8"/>
    <mergeCell ref="I4:I6"/>
    <mergeCell ref="F1:J1"/>
    <mergeCell ref="B35:C35"/>
    <mergeCell ref="G9:G15"/>
    <mergeCell ref="H9:H15"/>
    <mergeCell ref="B26:G26"/>
    <mergeCell ref="B25:C25"/>
    <mergeCell ref="B36:G36"/>
    <mergeCell ref="B38:C38"/>
    <mergeCell ref="A9:A16"/>
    <mergeCell ref="J9:J15"/>
    <mergeCell ref="J4:J6"/>
    <mergeCell ref="I9:I15"/>
    <mergeCell ref="G4:G6"/>
    <mergeCell ref="H4:H6"/>
    <mergeCell ref="B7:G7"/>
    <mergeCell ref="D4:D6"/>
    <mergeCell ref="E4:E6"/>
    <mergeCell ref="F4:F6"/>
    <mergeCell ref="D9:D15"/>
    <mergeCell ref="E9:E15"/>
    <mergeCell ref="F9:F15"/>
    <mergeCell ref="C4:C6"/>
  </mergeCells>
  <phoneticPr fontId="1" type="noConversion"/>
  <pageMargins left="0.15748031496062992" right="0.15748031496062992" top="0.15748031496062992" bottom="0.19685039370078741" header="0.15748031496062992" footer="0.19685039370078741"/>
  <pageSetup paperSize="9" scale="71" fitToHeight="3" orientation="landscape" r:id="rId1"/>
  <headerFooter alignWithMargins="0"/>
  <rowBreaks count="1" manualBreakCount="1">
    <brk id="25" min="1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СМЕТА 2020</vt:lpstr>
      <vt:lpstr>' СМЕТА 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lenovo</cp:lastModifiedBy>
  <cp:lastPrinted>2021-03-12T14:54:31Z</cp:lastPrinted>
  <dcterms:created xsi:type="dcterms:W3CDTF">2013-01-29T08:50:27Z</dcterms:created>
  <dcterms:modified xsi:type="dcterms:W3CDTF">2021-04-20T09:16:15Z</dcterms:modified>
</cp:coreProperties>
</file>