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3435" tabRatio="2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Лист1!$A$1:$K$100</definedName>
  </definedNames>
  <calcPr calcId="125725" refMode="R1C1"/>
</workbook>
</file>

<file path=xl/calcChain.xml><?xml version="1.0" encoding="utf-8"?>
<calcChain xmlns="http://schemas.openxmlformats.org/spreadsheetml/2006/main">
  <c r="D40" i="1"/>
  <c r="E40"/>
  <c r="F40"/>
  <c r="C40"/>
  <c r="I40"/>
  <c r="D27"/>
  <c r="E27"/>
  <c r="F27"/>
  <c r="C27"/>
  <c r="D23"/>
  <c r="E23"/>
  <c r="F23"/>
  <c r="C23"/>
  <c r="D31"/>
  <c r="E31"/>
  <c r="F31"/>
  <c r="C31"/>
  <c r="D48" l="1"/>
  <c r="E48"/>
  <c r="F48"/>
  <c r="C48"/>
  <c r="D19"/>
  <c r="E19"/>
  <c r="F19"/>
  <c r="C19"/>
  <c r="D41" l="1"/>
  <c r="E41"/>
  <c r="F41"/>
  <c r="C41"/>
  <c r="G48"/>
  <c r="D33"/>
  <c r="E33"/>
  <c r="F33"/>
  <c r="C33"/>
  <c r="I34"/>
  <c r="I33"/>
  <c r="D29"/>
  <c r="E29"/>
  <c r="F29"/>
  <c r="C29"/>
  <c r="G34"/>
  <c r="H34" s="1"/>
  <c r="D32"/>
  <c r="E32"/>
  <c r="F32"/>
  <c r="C32"/>
  <c r="D22"/>
  <c r="E22"/>
  <c r="F22"/>
  <c r="C22"/>
  <c r="D9"/>
  <c r="E9"/>
  <c r="F9"/>
  <c r="C9"/>
  <c r="J34" l="1"/>
  <c r="C18"/>
  <c r="E18"/>
  <c r="F18"/>
  <c r="D18"/>
  <c r="D24" l="1"/>
  <c r="E24"/>
  <c r="F24"/>
  <c r="C24"/>
  <c r="D37"/>
  <c r="E37"/>
  <c r="F37"/>
  <c r="C37"/>
  <c r="G23" l="1"/>
  <c r="H23" s="1"/>
  <c r="I17"/>
  <c r="I19"/>
  <c r="I24" s="1"/>
  <c r="I18"/>
  <c r="I23" s="1"/>
  <c r="J23" l="1"/>
  <c r="D17"/>
  <c r="E17"/>
  <c r="F17"/>
  <c r="C17"/>
  <c r="D28"/>
  <c r="E28"/>
  <c r="F28"/>
  <c r="C28"/>
  <c r="D20"/>
  <c r="E20"/>
  <c r="F20"/>
  <c r="C20"/>
  <c r="G17" l="1"/>
  <c r="H17" s="1"/>
  <c r="J17" s="1"/>
  <c r="D16"/>
  <c r="E16"/>
  <c r="F16"/>
  <c r="C16"/>
  <c r="G18" l="1"/>
  <c r="H18" s="1"/>
  <c r="J18" s="1"/>
  <c r="G16"/>
  <c r="H16" s="1"/>
  <c r="J16" s="1"/>
  <c r="D30"/>
  <c r="D35" s="1"/>
  <c r="E30"/>
  <c r="E35" s="1"/>
  <c r="F30"/>
  <c r="F35" s="1"/>
  <c r="C30"/>
  <c r="C35" s="1"/>
  <c r="D21"/>
  <c r="E21"/>
  <c r="F21"/>
  <c r="C21"/>
  <c r="C25" s="1"/>
  <c r="G19"/>
  <c r="G9"/>
  <c r="I37"/>
  <c r="I32"/>
  <c r="I31"/>
  <c r="I30"/>
  <c r="I29"/>
  <c r="I28"/>
  <c r="I27"/>
  <c r="I22"/>
  <c r="I21"/>
  <c r="I20"/>
  <c r="G37" l="1"/>
  <c r="G33"/>
  <c r="G32"/>
  <c r="H32" s="1"/>
  <c r="G31"/>
  <c r="H31" s="1"/>
  <c r="G30"/>
  <c r="H30" s="1"/>
  <c r="F25"/>
  <c r="H9"/>
  <c r="D47"/>
  <c r="E47"/>
  <c r="F47"/>
  <c r="C47"/>
  <c r="D38"/>
  <c r="D46" s="1"/>
  <c r="E38"/>
  <c r="E46" s="1"/>
  <c r="F38"/>
  <c r="F46" s="1"/>
  <c r="C38"/>
  <c r="C46" s="1"/>
  <c r="G20"/>
  <c r="H20" s="1"/>
  <c r="G40"/>
  <c r="G41" l="1"/>
  <c r="G39" s="1"/>
  <c r="H33"/>
  <c r="G36"/>
  <c r="H37"/>
  <c r="H38" s="1"/>
  <c r="H46" s="1"/>
  <c r="H48"/>
  <c r="J32"/>
  <c r="F45"/>
  <c r="F49" s="1"/>
  <c r="H40"/>
  <c r="G21"/>
  <c r="H21" s="1"/>
  <c r="J21" s="1"/>
  <c r="G24"/>
  <c r="H24" s="1"/>
  <c r="J24" s="1"/>
  <c r="G28"/>
  <c r="H28" s="1"/>
  <c r="J28" s="1"/>
  <c r="G29"/>
  <c r="H29" s="1"/>
  <c r="J30"/>
  <c r="G27"/>
  <c r="H27" s="1"/>
  <c r="J27" s="1"/>
  <c r="E25"/>
  <c r="G22"/>
  <c r="H22" s="1"/>
  <c r="J22" s="1"/>
  <c r="D25"/>
  <c r="G47"/>
  <c r="H47" s="1"/>
  <c r="G38"/>
  <c r="G46" s="1"/>
  <c r="J31"/>
  <c r="J9"/>
  <c r="J20"/>
  <c r="J40" l="1"/>
  <c r="H41"/>
  <c r="H39" s="1"/>
  <c r="H35"/>
  <c r="H26" s="1"/>
  <c r="G35"/>
  <c r="G26" s="1"/>
  <c r="J33"/>
  <c r="K48"/>
  <c r="K47"/>
  <c r="C45"/>
  <c r="C49" s="1"/>
  <c r="J29"/>
  <c r="D45"/>
  <c r="D49" s="1"/>
  <c r="H36"/>
  <c r="J37"/>
  <c r="E45"/>
  <c r="E49" s="1"/>
  <c r="G25"/>
  <c r="G8" s="1"/>
  <c r="H19"/>
  <c r="J41" l="1"/>
  <c r="J39" s="1"/>
  <c r="K40" s="1"/>
  <c r="J35"/>
  <c r="J26" s="1"/>
  <c r="J36"/>
  <c r="K36" s="1"/>
  <c r="J38"/>
  <c r="G7"/>
  <c r="G42" s="1"/>
  <c r="J19"/>
  <c r="H25"/>
  <c r="H8" s="1"/>
  <c r="H7" s="1"/>
  <c r="H42" s="1"/>
  <c r="K39" l="1"/>
  <c r="J25"/>
  <c r="J8"/>
  <c r="J7" s="1"/>
  <c r="K37"/>
  <c r="G45"/>
  <c r="G49" s="1"/>
  <c r="G50" s="1"/>
  <c r="K34" l="1"/>
  <c r="J42"/>
  <c r="G44"/>
  <c r="H45"/>
  <c r="K26" l="1"/>
  <c r="K30"/>
  <c r="K17"/>
  <c r="K21"/>
  <c r="K16"/>
  <c r="K7"/>
  <c r="K29"/>
  <c r="K33"/>
  <c r="K20"/>
  <c r="K24"/>
  <c r="K28"/>
  <c r="K32"/>
  <c r="K19"/>
  <c r="K23"/>
  <c r="K27"/>
  <c r="K31"/>
  <c r="K18"/>
  <c r="K9"/>
  <c r="K22"/>
  <c r="H49"/>
  <c r="H44" s="1"/>
  <c r="K44" s="1"/>
  <c r="K46"/>
  <c r="K8"/>
  <c r="H50" l="1"/>
  <c r="K45"/>
</calcChain>
</file>

<file path=xl/comments1.xml><?xml version="1.0" encoding="utf-8"?>
<comments xmlns="http://schemas.openxmlformats.org/spreadsheetml/2006/main">
  <authors>
    <author>Nataliya</author>
  </authors>
  <commentList>
    <comment ref="C18" author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1864,40 р/м дезинсекция/дезинфекция
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57 402,56- Ежемес обслужив
566,20 - АСВТ Интернет
191,67 - Страховка
3008,04 - Освидетельствование
16 667 - На планируемый ремонт лифтов
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4794,76 - ДУ и ППА
1760 - Водяное пожаротушение
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Nataliya:</t>
        </r>
        <r>
          <rPr>
            <sz val="9"/>
            <color indexed="81"/>
            <rFont val="Tahoma"/>
            <family val="2"/>
            <charset val="204"/>
          </rPr>
          <t xml:space="preserve">
15 конт*5300
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306 ковров в год * 329,60 рублей = 8404,8 в месяц</t>
        </r>
      </text>
    </comment>
    <comment ref="C32" author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960 - Контур Экстерн
2200 - ГИС ЖКХ
158,33 - ЭЦП</t>
        </r>
      </text>
    </comment>
    <comment ref="C33" author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Обучение - 500
Журнал - 825
</t>
        </r>
      </text>
    </comment>
  </commentList>
</comments>
</file>

<file path=xl/sharedStrings.xml><?xml version="1.0" encoding="utf-8"?>
<sst xmlns="http://schemas.openxmlformats.org/spreadsheetml/2006/main" count="161" uniqueCount="112">
  <si>
    <t>Наименование статей</t>
  </si>
  <si>
    <t>Итого:</t>
  </si>
  <si>
    <t>Юридические услуги</t>
  </si>
  <si>
    <t>Обслуживание банка</t>
  </si>
  <si>
    <t>1 квартал</t>
  </si>
  <si>
    <t>2 квартал</t>
  </si>
  <si>
    <t>3 квартал</t>
  </si>
  <si>
    <t>4 квартал</t>
  </si>
  <si>
    <t xml:space="preserve">Наладка и эксплуатация инженерного оборудования дома </t>
  </si>
  <si>
    <t xml:space="preserve">Подготовка к сезонной эксплуатации дома </t>
  </si>
  <si>
    <t>Проведение тех. осмотров и мелкий ремонт</t>
  </si>
  <si>
    <t>Устранение аварий и выполнение заявок населения в отношении общего имущества, расположенного в квартирах.</t>
  </si>
  <si>
    <t>Уборка придомовой территории и содержание элементов благоустройства</t>
  </si>
  <si>
    <t>Подготовка к эксплуатации в осенне-зимний период</t>
  </si>
  <si>
    <t>Дератизация, Дезинсекция</t>
  </si>
  <si>
    <t>№
п/п</t>
  </si>
  <si>
    <t>ООО "Техкомплект"</t>
  </si>
  <si>
    <t>Обслуживающая организация</t>
  </si>
  <si>
    <t>Площадь 
расчета
(м2)</t>
  </si>
  <si>
    <t>Среднемесячный расход</t>
  </si>
  <si>
    <t xml:space="preserve"> Х</t>
  </si>
  <si>
    <t>Договор</t>
  </si>
  <si>
    <t>ООО "Фирма Экология Плюс"</t>
  </si>
  <si>
    <t>Штатное расписание</t>
  </si>
  <si>
    <t xml:space="preserve">Обслуживание ковров </t>
  </si>
  <si>
    <t>Единый налог в связи с применением УСН</t>
  </si>
  <si>
    <t>Канцелярские расходы и содержание оргтехники</t>
  </si>
  <si>
    <t xml:space="preserve"> х</t>
  </si>
  <si>
    <t>Х</t>
  </si>
  <si>
    <t xml:space="preserve">Тарифы на коммунальные услуги, утвержденные в соответствии с действующим законодательством. </t>
  </si>
  <si>
    <t xml:space="preserve"> Двухтарифная оплата: </t>
  </si>
  <si>
    <t>Справочно:</t>
  </si>
  <si>
    <t>Население, проживающее в домах, оборудованных
в установленном порядке стационарными электроплитами</t>
  </si>
  <si>
    <t>б) доходы от предпринимательской деятельности ТСЖ;</t>
  </si>
  <si>
    <t xml:space="preserve">Доходная часть ТСЖ так же может формироваться за счет: </t>
  </si>
  <si>
    <t xml:space="preserve">Подписи членов правления ТСЖ «Путилково-Люкс»: </t>
  </si>
  <si>
    <t>Предоставить правлению ТСЖ «Путилково-Люкс» право осуществлять перераспределение средств по соответствующим статьям расходов и дополнительно возникающим
расходам, в том числе за счет образовавшейся экономии средств и остатков средств за предыдущий год. Обязать правления ТСЖ « Путилково- Люкс» о произведенных
перераспределениях средств по соответствующим статьям расходов и дополнительно возникающим расходам, в том числе за счет образовавшейся экономии средств и остатков средств за предыдущий год, в письменной форме уведомлять ревизионную комиссию ТСЖ « Путилково- Люкс» в течении 14 дней. 
Размер платежей и взносов установить для каждого собственника помещения в доме в соответствии с его долей в праве общей собственности на общее имущество в доме пропорционально площади помещении имеющихся в собственности. Т.е. платежи и взносы устанавливать в расчете на квадратный метр принадлежащих собственникам площадей.</t>
  </si>
  <si>
    <t>(_____________________)</t>
  </si>
  <si>
    <t>Оплату коммунальных услуг осуществлять по соответствующим тарифам на счет ТСЖ для последующего перечисления организациям, 
предоставляющим соответствующие услуги собственникам помещений.</t>
  </si>
  <si>
    <t>Планируемые доходы от коммерческой деятельности, в том числе от размещения оборудования</t>
  </si>
  <si>
    <t>Правление ТСЖ предлагает установить размер обязательных платежей для каждого владельца (собственника) помещения в доме в следующем размере:</t>
  </si>
  <si>
    <t>ООО Правовой цент "Партнер"</t>
  </si>
  <si>
    <t>СКБ Контур Пф, ЗАО</t>
  </si>
  <si>
    <t>Принята на заседании Правления
Протокол № _______________   
от _________________________</t>
  </si>
  <si>
    <t>Охрана общедомового имущества и придомовой территории</t>
  </si>
  <si>
    <t>Обслуживание шлагбаумов, домофонов, видеонаблюдения</t>
  </si>
  <si>
    <t>3.1 Теплоэнергия на отопление</t>
  </si>
  <si>
    <t>3.2 Теплоэнергия на подогрев ГВ</t>
  </si>
  <si>
    <t>2.2 Холодное водоснабжение для нужд горячей воды</t>
  </si>
  <si>
    <t>2.1 На  холодное  водоснабжение</t>
  </si>
  <si>
    <t>2.3 На водоотведение</t>
  </si>
  <si>
    <t>ИТОГО в год:</t>
  </si>
  <si>
    <t>Услуги связи, почтовые раходы, транспортные расходы</t>
  </si>
  <si>
    <t xml:space="preserve"> руб/м3</t>
  </si>
  <si>
    <t xml:space="preserve"> руб/Гкал</t>
  </si>
  <si>
    <r>
      <t xml:space="preserve">День :7-00  - 23-00    - </t>
    </r>
    <r>
      <rPr>
        <b/>
        <sz val="10"/>
        <rFont val="Arial"/>
        <family val="2"/>
        <charset val="204"/>
      </rPr>
      <t xml:space="preserve"> руб/кВт час</t>
    </r>
  </si>
  <si>
    <r>
      <t>Ночь: 23-00 – 7-00      -</t>
    </r>
    <r>
      <rPr>
        <b/>
        <sz val="10"/>
        <rFont val="Arial"/>
        <family val="2"/>
        <charset val="204"/>
      </rPr>
      <t xml:space="preserve"> руб/кВт час</t>
    </r>
  </si>
  <si>
    <r>
      <t>Однотарифная оплата</t>
    </r>
    <r>
      <rPr>
        <b/>
        <sz val="10"/>
        <rFont val="Arial"/>
        <family val="2"/>
        <charset val="204"/>
      </rPr>
      <t>:  руб/кВт час</t>
    </r>
  </si>
  <si>
    <t>ООО "Еврострой"</t>
  </si>
  <si>
    <t>Санитарные работы по содержанию помещений общего пользования, уборка  лестничных клеток и обслуживание контейнерной площадки</t>
  </si>
  <si>
    <t>Материалы, инвентарь и хоз товары на содержание и эксплуатацию общего имущества МКД</t>
  </si>
  <si>
    <t>Техническое обслуживание и ремонт системы ДУ и ППА и водяного пожаротушения
(Пожарная сигнализация)</t>
  </si>
  <si>
    <t>Фонд заработной платы 
(Председатель Правления, Бухгалтер, Паспортист) включая налоги с ФОТ</t>
  </si>
  <si>
    <t>ООО "Карпет-Клин"</t>
  </si>
  <si>
    <t>Механическая уборка и вывоз снега</t>
  </si>
  <si>
    <r>
      <t xml:space="preserve">Тариф
руб/м2
</t>
    </r>
    <r>
      <rPr>
        <b/>
        <u/>
        <sz val="10"/>
        <rFont val="Arial"/>
        <family val="2"/>
        <charset val="204"/>
      </rPr>
      <t xml:space="preserve">
для жилых и нежилых
помещений</t>
    </r>
  </si>
  <si>
    <t>Вывоз ТКО и утилизация люминесцентных ламп</t>
  </si>
  <si>
    <t>Программное обеспечение и ГИС ЖКХ</t>
  </si>
  <si>
    <t>Обслуживание коллективной антенны</t>
  </si>
  <si>
    <t>ООО "Телеуслуги"</t>
  </si>
  <si>
    <t>% в общей доли расходов</t>
  </si>
  <si>
    <t>ЧОО" Восток плюс"</t>
  </si>
  <si>
    <t>Обучение персонала, подписка на Журнал по ЖКХ</t>
  </si>
  <si>
    <t>По оплате за обслуживание коллективной телевизионной антенны: затраты на обслуживание антенны как общедомового имущества 
начисляются всем собственникам жилых/нежилых помещений  согласно утвержденным тарифам из расчета на 1 кв м.</t>
  </si>
  <si>
    <t>1.Тарифы на электроэнергию с 01.01.2018 по 30.06.2018</t>
  </si>
  <si>
    <t>2. Водоснабжение с  01.01.2018 по 30.06.2018</t>
  </si>
  <si>
    <t>3. Теплоэнергия с  01.01.2018 по 30.06.2018</t>
  </si>
  <si>
    <t>1.Тарифы на электроэнергию с 01.07.2018 по 31.12.2018</t>
  </si>
  <si>
    <t>2. Водоснабжение с 01.07.2018 по 31.12.2018</t>
  </si>
  <si>
    <t>3. Теплоэнергия с 01.07.2018 по 31.12.2018</t>
  </si>
  <si>
    <r>
      <t>Однотарифная оплата</t>
    </r>
    <r>
      <rPr>
        <b/>
        <sz val="10"/>
        <rFont val="Arial"/>
        <family val="2"/>
        <charset val="204"/>
      </rPr>
      <t>: 3,53 руб/кВт час</t>
    </r>
  </si>
  <si>
    <r>
      <t xml:space="preserve">День :7-00  - 23-00    - </t>
    </r>
    <r>
      <rPr>
        <b/>
        <sz val="10"/>
        <rFont val="Arial"/>
        <family val="2"/>
        <charset val="204"/>
      </rPr>
      <t>4,06 руб/кВт час</t>
    </r>
  </si>
  <si>
    <r>
      <t>Ночь: 23-00 – 7-00      -</t>
    </r>
    <r>
      <rPr>
        <b/>
        <sz val="10"/>
        <rFont val="Arial"/>
        <family val="2"/>
        <charset val="204"/>
      </rPr>
      <t>1,46 руб/кВт час</t>
    </r>
  </si>
  <si>
    <t>2 134,27 руб/Гкал</t>
  </si>
  <si>
    <t xml:space="preserve">Ежемесячный целевой взнос на охрану общедомового имущества и придомовой территории- 5,59 руб/м2 </t>
  </si>
  <si>
    <t>Ежемесячный  целевой взнос в резервный фонд  и благоустройство придомовой территории в размере 2 рублей за кв. м.</t>
  </si>
  <si>
    <r>
      <t>Утвержден на  очередном общем собрании членов ТСЖ "Путилково-Люкс" , проводимом путем  очно-заочного голосования  с 17.12.2017г по 31.01.2018г.       
Протокол № __________
от_</t>
    </r>
    <r>
      <rPr>
        <u/>
        <sz val="12"/>
        <rFont val="Arial"/>
        <family val="2"/>
        <charset val="204"/>
      </rPr>
      <t>________________________</t>
    </r>
  </si>
  <si>
    <t>Техническое обслуживание лифтов +страхование +ежегодное освидетельствование лифтов; проверка «фаза-нуль», текущий и аварийный ремонт лифтового оборудования</t>
  </si>
  <si>
    <t>ООО "Парк Лайн  Сервис"</t>
  </si>
  <si>
    <t xml:space="preserve"> Целевые расходы на управление, в том числе:</t>
  </si>
  <si>
    <t>Целевые расходы на охрану:</t>
  </si>
  <si>
    <t xml:space="preserve"> Целевые  взносы на  формирования фондов,  в том числе:</t>
  </si>
  <si>
    <t>Резервный фонд и благоустройство придомовой территории</t>
  </si>
  <si>
    <t>Целевые поступления на содержание, эксплуатацию, текущий ремон и управление общего имущества МКД , в том числе:</t>
  </si>
  <si>
    <t>Целевые поступления на оплату содержания, эксплуатацию и текущий ремонт  общего имущества в многоквартирном доме, в том числе управление. всего</t>
  </si>
  <si>
    <t>Ежемесячный платеж за электроэнергию МОП, ХВС на ОДН, ГВС на ОДН и ОСВ на ОДН - по факту,  
согласно показаниям общедомовых приборов учета и ИПУ жилых/нежилых помещений МКД. Вводятся в статью "Содержание , эксплуатация  и текущий  ремонт общедомового имущества, втч Управление"</t>
  </si>
  <si>
    <t>в) суммы, полученные ТСЖ в результате взыскания штрафных санкций, в т.ч. в судебном порядке, в виде пени, штрафов и иных платежей;</t>
  </si>
  <si>
    <t>г) добровольные взносы собственников и иных лиц, желающих оказать содействие реализации уставной деятельности ТСЖ.</t>
  </si>
  <si>
    <t xml:space="preserve">д) иные источники, не запрещенные законом. </t>
  </si>
  <si>
    <t>23 руб/м3</t>
  </si>
  <si>
    <t>29,87 руб/м3</t>
  </si>
  <si>
    <t xml:space="preserve"> Целевые расходы по оплате содержания, эксплуатации и текущего ремонта общего имущества в многоквартирном доме, всего:</t>
  </si>
  <si>
    <t>Целевые взносы  на охрану общедомового имущества и придомовой территории</t>
  </si>
  <si>
    <t>Ежемесячный целевой взнос в Фонд капитального ремонта общедомового имущества на специальном счете ТСЖ в размере 9,07 руб за 1 кв м. Основание - Постановление Правительства МО от 03.10.2017г № 826/36.</t>
  </si>
  <si>
    <t>ИТОГО ЦЕЛЕВЫЕ ПОСТУПЛЕНИЯ И  ДОХОДЫ ( сумма строк 1- 4)</t>
  </si>
  <si>
    <t xml:space="preserve">Целевые взносы на  формирования резервного фонда и благоустройство придомовой территории </t>
  </si>
  <si>
    <t>а) экономия расходов по смете за предыдущие и текущий годы; При условии экономии средств по статьям, накапливающиеся средства будут зачислены в "Резервный фонд и благоустройство придомовой территории".</t>
  </si>
  <si>
    <r>
      <t xml:space="preserve">Пояснения: 
</t>
    </r>
    <r>
      <rPr>
        <b/>
        <sz val="10"/>
        <rFont val="Arial"/>
        <family val="2"/>
        <charset val="204"/>
      </rPr>
      <t xml:space="preserve">
</t>
    </r>
    <r>
      <rPr>
        <b/>
        <sz val="10"/>
        <color rgb="FFFF0000"/>
        <rFont val="Arial"/>
        <family val="2"/>
        <charset val="204"/>
      </rPr>
      <t>По порядку начисления: затраты на теплоэнергию на отопления начисляются только в отопительный период; Возможно начисление по 1/12 (зависит от Договора с ПАО "Красногорская теплосеть")</t>
    </r>
    <r>
      <rPr>
        <b/>
        <sz val="10"/>
        <rFont val="Arial"/>
        <family val="2"/>
        <charset val="204"/>
      </rPr>
      <t xml:space="preserve">
По оплате за лифт: согласно ЖК РФ оплата за лифт как за общедомовое имуществопроизводится всеми собственниками жилых/нежилых паомещений согласно утвержденным тарифам.</t>
    </r>
  </si>
  <si>
    <t>ИТОГО  ЦЕЛЕВЫЕ РАСХОДЫ (сумма строк 1-26)</t>
  </si>
  <si>
    <t>Ежемесячный  целевой взнос на содержание, эксплуатацию и текущий ремонт общедомового имущества, втч управление - 35,29 руб/м2 для жилых помещений и нежилых помещений</t>
  </si>
  <si>
    <r>
      <t xml:space="preserve">Площадь расчета финансового плана согласно 23 297,16 м2 состоит из: 
</t>
    </r>
    <r>
      <rPr>
        <i/>
        <sz val="10"/>
        <rFont val="Arial"/>
        <family val="2"/>
        <charset val="204"/>
      </rPr>
      <t xml:space="preserve">1. Жилые помещения - 20 785,66 м2 
2. Нежилые помещения первого этажа - 2 511,50 м2
</t>
    </r>
  </si>
  <si>
    <t>Товарищество собственников жилья "ПУТИЛКОВО-ЛЮКС"
   Финансовый план на 2018 год (Смета доходов и расходов)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</si>
</sst>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9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i/>
      <u/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"/>
      <name val="Arial"/>
      <family val="2"/>
      <charset val="204"/>
    </font>
    <font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2" fontId="11" fillId="2" borderId="2" xfId="1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5" xfId="0" applyFont="1" applyBorder="1"/>
    <xf numFmtId="0" fontId="5" fillId="0" borderId="0" xfId="0" applyFont="1" applyAlignment="1">
      <alignment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5" fillId="0" borderId="14" xfId="0" applyFont="1" applyBorder="1" applyAlignment="1"/>
    <xf numFmtId="0" fontId="6" fillId="0" borderId="0" xfId="0" applyFont="1" applyAlignment="1">
      <alignment horizontal="right"/>
    </xf>
    <xf numFmtId="0" fontId="14" fillId="3" borderId="16" xfId="0" applyFont="1" applyFill="1" applyBorder="1" applyAlignment="1">
      <alignment horizontal="left" vertical="center" wrapText="1"/>
    </xf>
    <xf numFmtId="0" fontId="2" fillId="3" borderId="0" xfId="0" applyFont="1" applyFill="1"/>
    <xf numFmtId="0" fontId="14" fillId="3" borderId="17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2" fillId="3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right" vertical="center" wrapText="1"/>
    </xf>
    <xf numFmtId="164" fontId="3" fillId="3" borderId="26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4" fontId="3" fillId="0" borderId="26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9" xfId="0" applyFont="1" applyBorder="1"/>
    <xf numFmtId="164" fontId="12" fillId="4" borderId="12" xfId="0" applyNumberFormat="1" applyFont="1" applyFill="1" applyBorder="1" applyAlignment="1">
      <alignment horizontal="right" vertical="center" wrapText="1"/>
    </xf>
    <xf numFmtId="164" fontId="12" fillId="4" borderId="16" xfId="0" applyNumberFormat="1" applyFont="1" applyFill="1" applyBorder="1" applyAlignment="1">
      <alignment horizontal="right" vertical="center" wrapText="1"/>
    </xf>
    <xf numFmtId="164" fontId="12" fillId="4" borderId="22" xfId="0" applyNumberFormat="1" applyFont="1" applyFill="1" applyBorder="1" applyAlignment="1">
      <alignment horizontal="right" vertical="center" wrapText="1"/>
    </xf>
    <xf numFmtId="164" fontId="12" fillId="4" borderId="6" xfId="0" applyNumberFormat="1" applyFont="1" applyFill="1" applyBorder="1" applyAlignment="1">
      <alignment horizontal="right" vertical="center" wrapText="1"/>
    </xf>
    <xf numFmtId="164" fontId="12" fillId="4" borderId="8" xfId="0" applyNumberFormat="1" applyFont="1" applyFill="1" applyBorder="1" applyAlignment="1">
      <alignment horizontal="right" vertical="center" wrapText="1"/>
    </xf>
    <xf numFmtId="164" fontId="12" fillId="4" borderId="7" xfId="0" applyNumberFormat="1" applyFont="1" applyFill="1" applyBorder="1" applyAlignment="1">
      <alignment horizontal="right" vertical="center" wrapText="1"/>
    </xf>
    <xf numFmtId="164" fontId="12" fillId="4" borderId="25" xfId="0" applyNumberFormat="1" applyFont="1" applyFill="1" applyBorder="1" applyAlignment="1">
      <alignment horizontal="right" vertical="center" wrapText="1"/>
    </xf>
    <xf numFmtId="164" fontId="12" fillId="4" borderId="18" xfId="0" applyNumberFormat="1" applyFont="1" applyFill="1" applyBorder="1" applyAlignment="1">
      <alignment horizontal="right" vertical="center" wrapText="1"/>
    </xf>
    <xf numFmtId="164" fontId="12" fillId="4" borderId="3" xfId="0" applyNumberFormat="1" applyFont="1" applyFill="1" applyBorder="1" applyAlignment="1">
      <alignment horizontal="right" vertical="center" wrapText="1"/>
    </xf>
    <xf numFmtId="0" fontId="2" fillId="3" borderId="56" xfId="0" applyFont="1" applyFill="1" applyBorder="1" applyAlignment="1">
      <alignment vertical="center" wrapText="1"/>
    </xf>
    <xf numFmtId="164" fontId="12" fillId="4" borderId="56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4" fillId="0" borderId="5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164" fontId="12" fillId="4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14" fillId="3" borderId="0" xfId="0" applyFont="1" applyFill="1" applyAlignment="1">
      <alignment horizontal="left"/>
    </xf>
    <xf numFmtId="164" fontId="5" fillId="3" borderId="12" xfId="0" applyNumberFormat="1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righ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5" fillId="3" borderId="5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164" fontId="2" fillId="0" borderId="12" xfId="0" applyNumberFormat="1" applyFont="1" applyFill="1" applyBorder="1" applyAlignment="1">
      <alignment vertical="center" wrapText="1"/>
    </xf>
    <xf numFmtId="164" fontId="12" fillId="6" borderId="6" xfId="0" applyNumberFormat="1" applyFont="1" applyFill="1" applyBorder="1" applyAlignment="1">
      <alignment horizontal="right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right" vertical="center" wrapText="1"/>
    </xf>
    <xf numFmtId="164" fontId="12" fillId="5" borderId="6" xfId="0" applyNumberFormat="1" applyFont="1" applyFill="1" applyBorder="1" applyAlignment="1">
      <alignment horizontal="right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right" vertical="center" wrapText="1"/>
    </xf>
    <xf numFmtId="164" fontId="3" fillId="7" borderId="4" xfId="0" applyNumberFormat="1" applyFont="1" applyFill="1" applyBorder="1" applyAlignment="1">
      <alignment horizontal="right" vertical="center" wrapText="1"/>
    </xf>
    <xf numFmtId="164" fontId="12" fillId="7" borderId="4" xfId="0" applyNumberFormat="1" applyFont="1" applyFill="1" applyBorder="1" applyAlignment="1">
      <alignment horizontal="right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right" vertical="center" wrapText="1"/>
    </xf>
    <xf numFmtId="164" fontId="7" fillId="5" borderId="6" xfId="0" applyNumberFormat="1" applyFont="1" applyFill="1" applyBorder="1" applyAlignment="1">
      <alignment horizontal="right"/>
    </xf>
    <xf numFmtId="164" fontId="12" fillId="5" borderId="6" xfId="0" applyNumberFormat="1" applyFont="1" applyFill="1" applyBorder="1" applyAlignment="1">
      <alignment horizontal="right"/>
    </xf>
    <xf numFmtId="164" fontId="7" fillId="5" borderId="6" xfId="0" applyNumberFormat="1" applyFont="1" applyFill="1" applyBorder="1" applyAlignment="1">
      <alignment horizontal="center"/>
    </xf>
    <xf numFmtId="164" fontId="3" fillId="8" borderId="29" xfId="0" applyNumberFormat="1" applyFont="1" applyFill="1" applyBorder="1" applyAlignment="1">
      <alignment horizontal="right" vertical="center" wrapText="1"/>
    </xf>
    <xf numFmtId="164" fontId="12" fillId="8" borderId="6" xfId="0" applyNumberFormat="1" applyFont="1" applyFill="1" applyBorder="1" applyAlignment="1">
      <alignment horizontal="right" vertical="center" wrapText="1"/>
    </xf>
    <xf numFmtId="164" fontId="5" fillId="8" borderId="9" xfId="0" applyNumberFormat="1" applyFont="1" applyFill="1" applyBorder="1" applyAlignment="1">
      <alignment horizontal="center" vertical="center" wrapText="1"/>
    </xf>
    <xf numFmtId="164" fontId="5" fillId="8" borderId="6" xfId="0" applyNumberFormat="1" applyFont="1" applyFill="1" applyBorder="1" applyAlignment="1">
      <alignment horizontal="center" vertical="center" wrapText="1"/>
    </xf>
    <xf numFmtId="164" fontId="7" fillId="8" borderId="14" xfId="0" applyNumberFormat="1" applyFont="1" applyFill="1" applyBorder="1" applyAlignment="1">
      <alignment horizontal="center"/>
    </xf>
    <xf numFmtId="164" fontId="12" fillId="8" borderId="15" xfId="0" applyNumberFormat="1" applyFont="1" applyFill="1" applyBorder="1" applyAlignment="1">
      <alignment horizontal="right"/>
    </xf>
    <xf numFmtId="0" fontId="16" fillId="8" borderId="14" xfId="0" applyFont="1" applyFill="1" applyBorder="1" applyAlignment="1">
      <alignment horizontal="center"/>
    </xf>
    <xf numFmtId="164" fontId="7" fillId="8" borderId="15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 vertical="center" wrapText="1"/>
    </xf>
    <xf numFmtId="164" fontId="3" fillId="7" borderId="44" xfId="0" applyNumberFormat="1" applyFont="1" applyFill="1" applyBorder="1" applyAlignment="1">
      <alignment horizontal="center" vertical="center" wrapText="1"/>
    </xf>
    <xf numFmtId="164" fontId="3" fillId="5" borderId="44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60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61" xfId="0" applyNumberFormat="1" applyFont="1" applyFill="1" applyBorder="1" applyAlignment="1">
      <alignment horizontal="center" vertical="center" wrapText="1"/>
    </xf>
    <xf numFmtId="10" fontId="2" fillId="8" borderId="6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 applyAlignment="1"/>
    <xf numFmtId="0" fontId="21" fillId="0" borderId="0" xfId="0" applyFont="1" applyBorder="1" applyAlignment="1">
      <alignment horizontal="center" wrapText="1"/>
    </xf>
    <xf numFmtId="10" fontId="2" fillId="7" borderId="6" xfId="0" applyNumberFormat="1" applyFont="1" applyFill="1" applyBorder="1" applyAlignment="1">
      <alignment horizontal="center" vertical="center" wrapText="1"/>
    </xf>
    <xf numFmtId="10" fontId="2" fillId="3" borderId="8" xfId="0" applyNumberFormat="1" applyFont="1" applyFill="1" applyBorder="1" applyAlignment="1">
      <alignment horizontal="center" vertical="center" wrapText="1"/>
    </xf>
    <xf numFmtId="10" fontId="2" fillId="3" borderId="62" xfId="0" applyNumberFormat="1" applyFont="1" applyFill="1" applyBorder="1" applyAlignment="1">
      <alignment horizontal="center" vertical="center" wrapText="1"/>
    </xf>
    <xf numFmtId="10" fontId="2" fillId="3" borderId="6" xfId="0" applyNumberFormat="1" applyFont="1" applyFill="1" applyBorder="1" applyAlignment="1">
      <alignment horizontal="center" vertical="center" wrapText="1"/>
    </xf>
    <xf numFmtId="10" fontId="2" fillId="5" borderId="43" xfId="0" applyNumberFormat="1" applyFont="1" applyFill="1" applyBorder="1" applyAlignment="1">
      <alignment horizontal="center" vertical="center" wrapText="1"/>
    </xf>
    <xf numFmtId="10" fontId="2" fillId="3" borderId="57" xfId="0" applyNumberFormat="1" applyFont="1" applyFill="1" applyBorder="1" applyAlignment="1">
      <alignment horizontal="center" vertical="center" wrapText="1"/>
    </xf>
    <xf numFmtId="10" fontId="2" fillId="3" borderId="43" xfId="0" applyNumberFormat="1" applyFont="1" applyFill="1" applyBorder="1" applyAlignment="1">
      <alignment horizontal="center" vertical="center" wrapText="1"/>
    </xf>
    <xf numFmtId="10" fontId="2" fillId="6" borderId="6" xfId="0" applyNumberFormat="1" applyFont="1" applyFill="1" applyBorder="1" applyAlignment="1">
      <alignment horizontal="center" vertical="center" wrapText="1"/>
    </xf>
    <xf numFmtId="10" fontId="21" fillId="5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13" fillId="0" borderId="6" xfId="0" applyNumberFormat="1" applyFont="1" applyBorder="1" applyAlignment="1">
      <alignment horizontal="center" vertical="center" wrapText="1"/>
    </xf>
    <xf numFmtId="10" fontId="21" fillId="8" borderId="15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10" fontId="2" fillId="3" borderId="43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horizontal="right" vertical="center" wrapText="1"/>
    </xf>
    <xf numFmtId="164" fontId="2" fillId="3" borderId="12" xfId="0" applyNumberFormat="1" applyFont="1" applyFill="1" applyBorder="1" applyAlignment="1">
      <alignment vertical="center" wrapText="1"/>
    </xf>
    <xf numFmtId="164" fontId="3" fillId="3" borderId="27" xfId="0" applyNumberFormat="1" applyFont="1" applyFill="1" applyBorder="1" applyAlignment="1">
      <alignment horizontal="right" vertical="center" wrapText="1"/>
    </xf>
    <xf numFmtId="164" fontId="2" fillId="3" borderId="16" xfId="0" applyNumberFormat="1" applyFont="1" applyFill="1" applyBorder="1" applyAlignment="1">
      <alignment vertical="center" wrapText="1"/>
    </xf>
    <xf numFmtId="164" fontId="2" fillId="3" borderId="12" xfId="0" applyNumberFormat="1" applyFont="1" applyFill="1" applyBorder="1" applyAlignment="1">
      <alignment horizontal="right" vertical="center" wrapText="1"/>
    </xf>
    <xf numFmtId="164" fontId="3" fillId="3" borderId="12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3" borderId="56" xfId="0" applyNumberFormat="1" applyFont="1" applyFill="1" applyBorder="1" applyAlignment="1">
      <alignment vertical="center" wrapText="1"/>
    </xf>
    <xf numFmtId="164" fontId="3" fillId="3" borderId="5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horizontal="right" vertical="center" wrapText="1"/>
    </xf>
    <xf numFmtId="164" fontId="2" fillId="3" borderId="22" xfId="0" applyNumberFormat="1" applyFont="1" applyFill="1" applyBorder="1" applyAlignment="1">
      <alignment vertical="center" wrapText="1"/>
    </xf>
    <xf numFmtId="164" fontId="3" fillId="3" borderId="22" xfId="0" applyNumberFormat="1" applyFont="1" applyFill="1" applyBorder="1" applyAlignment="1">
      <alignment horizontal="right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3" borderId="55" xfId="0" applyNumberFormat="1" applyFont="1" applyFill="1" applyBorder="1" applyAlignment="1">
      <alignment horizontal="right" vertical="center" wrapText="1"/>
    </xf>
    <xf numFmtId="164" fontId="2" fillId="3" borderId="17" xfId="0" applyNumberFormat="1" applyFont="1" applyFill="1" applyBorder="1" applyAlignment="1">
      <alignment horizontal="right" vertical="center" wrapText="1"/>
    </xf>
    <xf numFmtId="164" fontId="2" fillId="3" borderId="56" xfId="0" applyNumberFormat="1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64" fontId="5" fillId="3" borderId="55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56" xfId="0" applyNumberFormat="1" applyFont="1" applyFill="1" applyBorder="1" applyAlignment="1">
      <alignment horizontal="center" vertical="center" wrapText="1"/>
    </xf>
    <xf numFmtId="164" fontId="3" fillId="3" borderId="58" xfId="0" applyNumberFormat="1" applyFont="1" applyFill="1" applyBorder="1" applyAlignment="1">
      <alignment horizontal="center" vertical="center" wrapText="1"/>
    </xf>
    <xf numFmtId="164" fontId="3" fillId="3" borderId="59" xfId="0" applyNumberFormat="1" applyFont="1" applyFill="1" applyBorder="1" applyAlignment="1">
      <alignment horizontal="center" vertical="center" wrapText="1"/>
    </xf>
    <xf numFmtId="164" fontId="3" fillId="3" borderId="60" xfId="0" applyNumberFormat="1" applyFont="1" applyFill="1" applyBorder="1" applyAlignment="1">
      <alignment horizontal="center" vertical="center" wrapText="1"/>
    </xf>
    <xf numFmtId="164" fontId="12" fillId="4" borderId="55" xfId="0" applyNumberFormat="1" applyFont="1" applyFill="1" applyBorder="1" applyAlignment="1">
      <alignment horizontal="right" vertical="center" wrapText="1"/>
    </xf>
    <xf numFmtId="164" fontId="12" fillId="4" borderId="17" xfId="0" applyNumberFormat="1" applyFont="1" applyFill="1" applyBorder="1" applyAlignment="1">
      <alignment horizontal="right" vertical="center" wrapText="1"/>
    </xf>
    <xf numFmtId="164" fontId="12" fillId="4" borderId="56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0" fontId="2" fillId="3" borderId="15" xfId="0" applyNumberFormat="1" applyFont="1" applyFill="1" applyBorder="1" applyAlignment="1">
      <alignment horizontal="center" vertical="center" wrapText="1"/>
    </xf>
    <xf numFmtId="10" fontId="2" fillId="3" borderId="42" xfId="0" applyNumberFormat="1" applyFont="1" applyFill="1" applyBorder="1" applyAlignment="1">
      <alignment horizontal="center" vertical="center" wrapText="1"/>
    </xf>
    <xf numFmtId="10" fontId="2" fillId="3" borderId="43" xfId="0" applyNumberFormat="1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horizontal="left" vertical="center" wrapText="1"/>
    </xf>
    <xf numFmtId="164" fontId="3" fillId="3" borderId="55" xfId="0" applyNumberFormat="1" applyFont="1" applyFill="1" applyBorder="1" applyAlignment="1">
      <alignment horizontal="right" vertical="center" wrapText="1"/>
    </xf>
    <xf numFmtId="164" fontId="3" fillId="3" borderId="17" xfId="0" applyNumberFormat="1" applyFont="1" applyFill="1" applyBorder="1" applyAlignment="1">
      <alignment horizontal="right" vertical="center" wrapText="1"/>
    </xf>
    <xf numFmtId="164" fontId="3" fillId="3" borderId="56" xfId="0" applyNumberFormat="1" applyFont="1" applyFill="1" applyBorder="1" applyAlignment="1">
      <alignment horizontal="righ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52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4" fillId="3" borderId="49" xfId="0" applyFont="1" applyFill="1" applyBorder="1" applyAlignment="1">
      <alignment horizontal="left" vertical="center" wrapText="1"/>
    </xf>
    <xf numFmtId="0" fontId="14" fillId="3" borderId="5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7" fillId="5" borderId="44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3" fillId="0" borderId="3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left" vertical="top" wrapText="1"/>
    </xf>
    <xf numFmtId="0" fontId="3" fillId="6" borderId="5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4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52" xfId="0" applyFont="1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7" fillId="8" borderId="41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topLeftCell="A10" zoomScale="85" zoomScaleNormal="85" workbookViewId="0">
      <selection activeCell="A3" sqref="A3:J3"/>
    </sheetView>
  </sheetViews>
  <sheetFormatPr defaultRowHeight="12.75"/>
  <cols>
    <col min="1" max="1" width="4.140625" style="1" customWidth="1"/>
    <col min="2" max="2" width="60.42578125" style="1" customWidth="1"/>
    <col min="3" max="6" width="15.140625" style="1" bestFit="1" customWidth="1"/>
    <col min="7" max="7" width="20.42578125" style="3" bestFit="1" customWidth="1"/>
    <col min="8" max="8" width="22.42578125" style="3" bestFit="1" customWidth="1"/>
    <col min="9" max="9" width="12.85546875" style="6" customWidth="1"/>
    <col min="10" max="10" width="14.7109375" style="5" customWidth="1"/>
    <col min="11" max="11" width="10.42578125" style="94" customWidth="1"/>
    <col min="12" max="12" width="27.85546875" style="28" bestFit="1" customWidth="1"/>
    <col min="13" max="13" width="21.28515625" style="28" customWidth="1"/>
    <col min="14" max="16384" width="9.140625" style="1"/>
  </cols>
  <sheetData>
    <row r="1" spans="1:13" ht="93" customHeight="1">
      <c r="A1" s="171" t="s">
        <v>43</v>
      </c>
      <c r="B1" s="172"/>
      <c r="C1" s="172"/>
      <c r="D1" s="172"/>
      <c r="E1" s="174" t="s">
        <v>86</v>
      </c>
      <c r="F1" s="174"/>
      <c r="G1" s="174"/>
      <c r="H1" s="174"/>
      <c r="I1" s="174"/>
      <c r="J1" s="174"/>
      <c r="K1" s="98"/>
    </row>
    <row r="2" spans="1:13" ht="18.75" customHeight="1">
      <c r="A2" s="44"/>
      <c r="B2" s="45"/>
      <c r="C2" s="45"/>
      <c r="D2" s="45"/>
      <c r="E2" s="46"/>
      <c r="F2" s="36"/>
      <c r="G2" s="36"/>
      <c r="H2" s="36"/>
      <c r="I2" s="36"/>
      <c r="J2" s="36"/>
      <c r="K2" s="36"/>
    </row>
    <row r="3" spans="1:13" ht="41.25" customHeight="1" thickBot="1">
      <c r="A3" s="173" t="s">
        <v>111</v>
      </c>
      <c r="B3" s="173"/>
      <c r="C3" s="173"/>
      <c r="D3" s="173"/>
      <c r="E3" s="173"/>
      <c r="F3" s="173"/>
      <c r="G3" s="173"/>
      <c r="H3" s="173"/>
      <c r="I3" s="173"/>
      <c r="J3" s="173"/>
      <c r="K3" s="135"/>
      <c r="L3" s="34"/>
    </row>
    <row r="4" spans="1:13" ht="12.75" customHeight="1">
      <c r="A4" s="177" t="s">
        <v>15</v>
      </c>
      <c r="B4" s="179" t="s">
        <v>0</v>
      </c>
      <c r="C4" s="179" t="s">
        <v>4</v>
      </c>
      <c r="D4" s="179" t="s">
        <v>5</v>
      </c>
      <c r="E4" s="179" t="s">
        <v>6</v>
      </c>
      <c r="F4" s="179" t="s">
        <v>7</v>
      </c>
      <c r="G4" s="211" t="s">
        <v>51</v>
      </c>
      <c r="H4" s="188" t="s">
        <v>19</v>
      </c>
      <c r="I4" s="181" t="s">
        <v>18</v>
      </c>
      <c r="J4" s="175" t="s">
        <v>65</v>
      </c>
      <c r="K4" s="200" t="s">
        <v>70</v>
      </c>
      <c r="L4" s="187" t="s">
        <v>17</v>
      </c>
      <c r="M4" s="183" t="s">
        <v>21</v>
      </c>
    </row>
    <row r="5" spans="1:13" ht="15.75" customHeight="1">
      <c r="A5" s="178"/>
      <c r="B5" s="180"/>
      <c r="C5" s="180"/>
      <c r="D5" s="180"/>
      <c r="E5" s="180"/>
      <c r="F5" s="180"/>
      <c r="G5" s="212"/>
      <c r="H5" s="189"/>
      <c r="I5" s="182"/>
      <c r="J5" s="176"/>
      <c r="K5" s="201"/>
      <c r="L5" s="187"/>
      <c r="M5" s="183"/>
    </row>
    <row r="6" spans="1:13" ht="70.5" customHeight="1" thickBot="1">
      <c r="A6" s="178"/>
      <c r="B6" s="180"/>
      <c r="C6" s="180"/>
      <c r="D6" s="180"/>
      <c r="E6" s="180"/>
      <c r="F6" s="180"/>
      <c r="G6" s="212"/>
      <c r="H6" s="190"/>
      <c r="I6" s="182"/>
      <c r="J6" s="176"/>
      <c r="K6" s="201"/>
      <c r="L6" s="187"/>
      <c r="M6" s="183"/>
    </row>
    <row r="7" spans="1:13" ht="31.5" customHeight="1" thickBot="1">
      <c r="A7" s="213" t="s">
        <v>101</v>
      </c>
      <c r="B7" s="214"/>
      <c r="C7" s="214"/>
      <c r="D7" s="214"/>
      <c r="E7" s="214"/>
      <c r="F7" s="215"/>
      <c r="G7" s="108">
        <f>G8+G26</f>
        <v>9726739.9199999981</v>
      </c>
      <c r="H7" s="109">
        <f>H8+H26</f>
        <v>810561.66</v>
      </c>
      <c r="I7" s="110" t="s">
        <v>20</v>
      </c>
      <c r="J7" s="125">
        <f>J8+J26</f>
        <v>34.79229485482351</v>
      </c>
      <c r="K7" s="136">
        <f>J7/J7</f>
        <v>1</v>
      </c>
      <c r="L7" s="187"/>
      <c r="M7" s="183"/>
    </row>
    <row r="8" spans="1:13" ht="21" customHeight="1" thickBot="1">
      <c r="A8" s="205"/>
      <c r="B8" s="206"/>
      <c r="C8" s="206"/>
      <c r="D8" s="206"/>
      <c r="E8" s="206"/>
      <c r="F8" s="207"/>
      <c r="G8" s="103">
        <f>G25</f>
        <v>7614082.6799999988</v>
      </c>
      <c r="H8" s="104">
        <f>H25</f>
        <v>634506.89</v>
      </c>
      <c r="I8" s="105" t="s">
        <v>20</v>
      </c>
      <c r="J8" s="126">
        <f>SUM(J9:J24)</f>
        <v>27.23537504142136</v>
      </c>
      <c r="K8" s="124">
        <f>J8/J7</f>
        <v>0.78279904085273411</v>
      </c>
      <c r="L8" s="187"/>
      <c r="M8" s="183"/>
    </row>
    <row r="9" spans="1:13" s="38" customFormat="1" ht="21" customHeight="1">
      <c r="A9" s="53">
        <v>1</v>
      </c>
      <c r="B9" s="53" t="s">
        <v>8</v>
      </c>
      <c r="C9" s="184">
        <f>375000*3</f>
        <v>1125000</v>
      </c>
      <c r="D9" s="184">
        <f t="shared" ref="D9:F9" si="0">375000*3</f>
        <v>1125000</v>
      </c>
      <c r="E9" s="184">
        <f t="shared" si="0"/>
        <v>1125000</v>
      </c>
      <c r="F9" s="184">
        <f t="shared" si="0"/>
        <v>1125000</v>
      </c>
      <c r="G9" s="208">
        <f>SUM(C9:F15)</f>
        <v>4500000</v>
      </c>
      <c r="H9" s="197">
        <f>G9/12</f>
        <v>375000</v>
      </c>
      <c r="I9" s="191">
        <v>23297.16</v>
      </c>
      <c r="J9" s="194">
        <f>H9/I9</f>
        <v>16.096382563368238</v>
      </c>
      <c r="K9" s="202">
        <f>J9/J7</f>
        <v>0.46264216345984083</v>
      </c>
      <c r="L9" s="220" t="s">
        <v>88</v>
      </c>
      <c r="M9" s="37"/>
    </row>
    <row r="10" spans="1:13" s="38" customFormat="1" ht="19.5" customHeight="1">
      <c r="A10" s="48">
        <v>2</v>
      </c>
      <c r="B10" s="48" t="s">
        <v>9</v>
      </c>
      <c r="C10" s="185"/>
      <c r="D10" s="185"/>
      <c r="E10" s="185"/>
      <c r="F10" s="185"/>
      <c r="G10" s="209"/>
      <c r="H10" s="198"/>
      <c r="I10" s="192"/>
      <c r="J10" s="195"/>
      <c r="K10" s="203"/>
      <c r="L10" s="221"/>
      <c r="M10" s="39"/>
    </row>
    <row r="11" spans="1:13" s="38" customFormat="1" ht="18.75" customHeight="1">
      <c r="A11" s="47">
        <v>3</v>
      </c>
      <c r="B11" s="48" t="s">
        <v>10</v>
      </c>
      <c r="C11" s="185"/>
      <c r="D11" s="185"/>
      <c r="E11" s="185"/>
      <c r="F11" s="185"/>
      <c r="G11" s="209"/>
      <c r="H11" s="198"/>
      <c r="I11" s="192"/>
      <c r="J11" s="195"/>
      <c r="K11" s="203"/>
      <c r="L11" s="221"/>
      <c r="M11" s="39"/>
    </row>
    <row r="12" spans="1:13" s="38" customFormat="1" ht="33" customHeight="1">
      <c r="A12" s="48">
        <v>4</v>
      </c>
      <c r="B12" s="48" t="s">
        <v>11</v>
      </c>
      <c r="C12" s="185"/>
      <c r="D12" s="185"/>
      <c r="E12" s="185"/>
      <c r="F12" s="185"/>
      <c r="G12" s="209"/>
      <c r="H12" s="198"/>
      <c r="I12" s="192"/>
      <c r="J12" s="195"/>
      <c r="K12" s="203"/>
      <c r="L12" s="221"/>
      <c r="M12" s="39"/>
    </row>
    <row r="13" spans="1:13" s="38" customFormat="1" ht="30" customHeight="1">
      <c r="A13" s="47">
        <v>5</v>
      </c>
      <c r="B13" s="48" t="s">
        <v>12</v>
      </c>
      <c r="C13" s="185"/>
      <c r="D13" s="185"/>
      <c r="E13" s="185"/>
      <c r="F13" s="185"/>
      <c r="G13" s="209"/>
      <c r="H13" s="198"/>
      <c r="I13" s="192"/>
      <c r="J13" s="195"/>
      <c r="K13" s="203"/>
      <c r="L13" s="221"/>
      <c r="M13" s="39"/>
    </row>
    <row r="14" spans="1:13" s="38" customFormat="1" ht="45.75" customHeight="1">
      <c r="A14" s="48">
        <v>6</v>
      </c>
      <c r="B14" s="48" t="s">
        <v>59</v>
      </c>
      <c r="C14" s="185"/>
      <c r="D14" s="185"/>
      <c r="E14" s="185"/>
      <c r="F14" s="185"/>
      <c r="G14" s="209"/>
      <c r="H14" s="198"/>
      <c r="I14" s="192"/>
      <c r="J14" s="195"/>
      <c r="K14" s="203"/>
      <c r="L14" s="221"/>
      <c r="M14" s="39"/>
    </row>
    <row r="15" spans="1:13" s="38" customFormat="1" ht="19.5" customHeight="1" thickBot="1">
      <c r="A15" s="80">
        <v>7</v>
      </c>
      <c r="B15" s="93" t="s">
        <v>13</v>
      </c>
      <c r="C15" s="186"/>
      <c r="D15" s="186"/>
      <c r="E15" s="186"/>
      <c r="F15" s="186"/>
      <c r="G15" s="210"/>
      <c r="H15" s="199"/>
      <c r="I15" s="193"/>
      <c r="J15" s="196"/>
      <c r="K15" s="204"/>
      <c r="L15" s="221"/>
      <c r="M15" s="39"/>
    </row>
    <row r="16" spans="1:13" s="83" customFormat="1" ht="33.75" customHeight="1">
      <c r="A16" s="47">
        <v>8</v>
      </c>
      <c r="B16" s="47" t="s">
        <v>60</v>
      </c>
      <c r="C16" s="161">
        <f>50000*3</f>
        <v>150000</v>
      </c>
      <c r="D16" s="161">
        <f t="shared" ref="D16:F16" si="1">50000*3</f>
        <v>150000</v>
      </c>
      <c r="E16" s="161">
        <f t="shared" si="1"/>
        <v>150000</v>
      </c>
      <c r="F16" s="161">
        <f t="shared" si="1"/>
        <v>150000</v>
      </c>
      <c r="G16" s="162">
        <f>SUM(C16:F16)</f>
        <v>600000</v>
      </c>
      <c r="H16" s="90">
        <f>G16/12</f>
        <v>50000</v>
      </c>
      <c r="I16" s="89">
        <v>23297.16</v>
      </c>
      <c r="J16" s="127">
        <f>H16/I16</f>
        <v>2.146184341782432</v>
      </c>
      <c r="K16" s="137">
        <f>J16/$J$7</f>
        <v>6.1685621794645457E-2</v>
      </c>
      <c r="L16" s="221"/>
      <c r="M16" s="42"/>
    </row>
    <row r="17" spans="1:13" s="87" customFormat="1" ht="33.75" customHeight="1">
      <c r="A17" s="48">
        <v>9</v>
      </c>
      <c r="B17" s="48" t="s">
        <v>64</v>
      </c>
      <c r="C17" s="163">
        <f>10000*3</f>
        <v>30000</v>
      </c>
      <c r="D17" s="163">
        <f t="shared" ref="D17:F17" si="2">10000*3</f>
        <v>30000</v>
      </c>
      <c r="E17" s="163">
        <f t="shared" si="2"/>
        <v>30000</v>
      </c>
      <c r="F17" s="163">
        <f t="shared" si="2"/>
        <v>30000</v>
      </c>
      <c r="G17" s="164">
        <f>SUM(C17:F17)</f>
        <v>120000</v>
      </c>
      <c r="H17" s="86">
        <f>G17/12</f>
        <v>10000</v>
      </c>
      <c r="I17" s="82">
        <f>I16</f>
        <v>23297.16</v>
      </c>
      <c r="J17" s="128">
        <f>H17/I17</f>
        <v>0.42923686835648639</v>
      </c>
      <c r="K17" s="137">
        <f t="shared" ref="K17:K33" si="3">J17/$J$7</f>
        <v>1.2337124358929091E-2</v>
      </c>
      <c r="L17" s="221"/>
      <c r="M17" s="40"/>
    </row>
    <row r="18" spans="1:13" s="38" customFormat="1" ht="24.75" customHeight="1" thickBot="1">
      <c r="A18" s="47">
        <v>10</v>
      </c>
      <c r="B18" s="80" t="s">
        <v>14</v>
      </c>
      <c r="C18" s="165">
        <f>1864.4*3</f>
        <v>5593.2000000000007</v>
      </c>
      <c r="D18" s="165">
        <f>1864.4*3</f>
        <v>5593.2000000000007</v>
      </c>
      <c r="E18" s="165">
        <f t="shared" ref="E18:F18" si="4">1864.4*3</f>
        <v>5593.2000000000007</v>
      </c>
      <c r="F18" s="165">
        <f t="shared" si="4"/>
        <v>5593.2000000000007</v>
      </c>
      <c r="G18" s="166">
        <f t="shared" ref="G18:G24" si="5">SUM(C18:F18)</f>
        <v>22372.800000000003</v>
      </c>
      <c r="H18" s="81">
        <f>G18/12</f>
        <v>1864.4000000000003</v>
      </c>
      <c r="I18" s="97">
        <f>I16</f>
        <v>23297.16</v>
      </c>
      <c r="J18" s="129">
        <f t="shared" ref="J18:J24" si="6">H18/I18</f>
        <v>8.002692173638333E-2</v>
      </c>
      <c r="K18" s="138">
        <f t="shared" si="3"/>
        <v>2.30013346547874E-3</v>
      </c>
      <c r="L18" s="222"/>
      <c r="M18" s="40"/>
    </row>
    <row r="19" spans="1:13" s="38" customFormat="1" ht="45.75" customHeight="1">
      <c r="A19" s="50">
        <v>11</v>
      </c>
      <c r="B19" s="47" t="s">
        <v>87</v>
      </c>
      <c r="C19" s="158">
        <f>(57402.56+566.2+191.67+3008.04+16667)*3</f>
        <v>233506.41</v>
      </c>
      <c r="D19" s="158">
        <f t="shared" ref="D19:F19" si="7">(57402.56+566.2+191.67+3008.04+16667)*3</f>
        <v>233506.41</v>
      </c>
      <c r="E19" s="158">
        <f t="shared" si="7"/>
        <v>233506.41</v>
      </c>
      <c r="F19" s="158">
        <f t="shared" si="7"/>
        <v>233506.41</v>
      </c>
      <c r="G19" s="162">
        <f t="shared" si="5"/>
        <v>934025.64</v>
      </c>
      <c r="H19" s="71">
        <f>G19/12</f>
        <v>77835.47</v>
      </c>
      <c r="I19" s="89">
        <f>I16</f>
        <v>23297.16</v>
      </c>
      <c r="J19" s="127">
        <f t="shared" si="6"/>
        <v>3.3409853389855244</v>
      </c>
      <c r="K19" s="137">
        <f t="shared" si="3"/>
        <v>9.6026587292569437E-2</v>
      </c>
      <c r="L19" s="41" t="s">
        <v>16</v>
      </c>
      <c r="M19" s="42"/>
    </row>
    <row r="20" spans="1:13" s="38" customFormat="1" ht="42.75" customHeight="1" thickBot="1">
      <c r="A20" s="49">
        <v>12</v>
      </c>
      <c r="B20" s="51" t="s">
        <v>61</v>
      </c>
      <c r="C20" s="160">
        <f>(4794.76+1760)*3</f>
        <v>19664.28</v>
      </c>
      <c r="D20" s="160">
        <f t="shared" ref="D20:F20" si="8">(4794.76+1760)*3</f>
        <v>19664.28</v>
      </c>
      <c r="E20" s="160">
        <f t="shared" si="8"/>
        <v>19664.28</v>
      </c>
      <c r="F20" s="160">
        <f t="shared" si="8"/>
        <v>19664.28</v>
      </c>
      <c r="G20" s="167">
        <f t="shared" si="5"/>
        <v>78657.119999999995</v>
      </c>
      <c r="H20" s="72">
        <f t="shared" ref="H20:H33" si="9">G20/12</f>
        <v>6554.7599999999993</v>
      </c>
      <c r="I20" s="52">
        <f>I9</f>
        <v>23297.16</v>
      </c>
      <c r="J20" s="130">
        <f t="shared" si="6"/>
        <v>0.28135446552283622</v>
      </c>
      <c r="K20" s="138">
        <f t="shared" si="3"/>
        <v>8.086688926293403E-3</v>
      </c>
      <c r="L20" s="41" t="s">
        <v>58</v>
      </c>
      <c r="M20" s="42"/>
    </row>
    <row r="21" spans="1:13" s="38" customFormat="1" ht="17.25" customHeight="1">
      <c r="A21" s="50">
        <v>13</v>
      </c>
      <c r="B21" s="53" t="s">
        <v>45</v>
      </c>
      <c r="C21" s="168">
        <f>10847.46*3</f>
        <v>32542.379999999997</v>
      </c>
      <c r="D21" s="168">
        <f t="shared" ref="D21:F21" si="10">10847.46*3</f>
        <v>32542.379999999997</v>
      </c>
      <c r="E21" s="168">
        <f t="shared" si="10"/>
        <v>32542.379999999997</v>
      </c>
      <c r="F21" s="168">
        <f t="shared" si="10"/>
        <v>32542.379999999997</v>
      </c>
      <c r="G21" s="169">
        <f t="shared" si="5"/>
        <v>130169.51999999999</v>
      </c>
      <c r="H21" s="73">
        <f t="shared" si="9"/>
        <v>10847.46</v>
      </c>
      <c r="I21" s="89">
        <f>I9</f>
        <v>23297.16</v>
      </c>
      <c r="J21" s="131">
        <f t="shared" si="6"/>
        <v>0.46561297600222512</v>
      </c>
      <c r="K21" s="137">
        <f t="shared" si="3"/>
        <v>1.3382646299850894E-2</v>
      </c>
      <c r="L21" s="41" t="s">
        <v>58</v>
      </c>
      <c r="M21" s="42"/>
    </row>
    <row r="22" spans="1:13" s="38" customFormat="1" ht="18.75" customHeight="1">
      <c r="A22" s="54">
        <v>14</v>
      </c>
      <c r="B22" s="47" t="s">
        <v>66</v>
      </c>
      <c r="C22" s="158">
        <f>79500*3</f>
        <v>238500</v>
      </c>
      <c r="D22" s="158">
        <f t="shared" ref="D22:F22" si="11">79500*3</f>
        <v>238500</v>
      </c>
      <c r="E22" s="158">
        <f t="shared" si="11"/>
        <v>238500</v>
      </c>
      <c r="F22" s="158">
        <f t="shared" si="11"/>
        <v>238500</v>
      </c>
      <c r="G22" s="162">
        <f t="shared" si="5"/>
        <v>954000</v>
      </c>
      <c r="H22" s="71">
        <f>G22/12</f>
        <v>79500</v>
      </c>
      <c r="I22" s="89">
        <f>I9</f>
        <v>23297.16</v>
      </c>
      <c r="J22" s="127">
        <f t="shared" si="6"/>
        <v>3.4124331034340667</v>
      </c>
      <c r="K22" s="137">
        <f t="shared" si="3"/>
        <v>9.8080138653486262E-2</v>
      </c>
      <c r="L22" s="41" t="s">
        <v>22</v>
      </c>
      <c r="M22" s="42"/>
    </row>
    <row r="23" spans="1:13" s="38" customFormat="1" ht="15.75">
      <c r="A23" s="51">
        <v>15</v>
      </c>
      <c r="B23" s="51" t="s">
        <v>24</v>
      </c>
      <c r="C23" s="160">
        <f>8404.8*3</f>
        <v>25214.399999999998</v>
      </c>
      <c r="D23" s="160">
        <f t="shared" ref="D23:F23" si="12">8404.8*3</f>
        <v>25214.399999999998</v>
      </c>
      <c r="E23" s="160">
        <f t="shared" si="12"/>
        <v>25214.399999999998</v>
      </c>
      <c r="F23" s="160">
        <f t="shared" si="12"/>
        <v>25214.399999999998</v>
      </c>
      <c r="G23" s="167">
        <f t="shared" ref="G23" si="13">SUM(C23:F23)</f>
        <v>100857.59999999999</v>
      </c>
      <c r="H23" s="72">
        <f t="shared" ref="H23" si="14">G23/12</f>
        <v>8404.7999999999993</v>
      </c>
      <c r="I23" s="170">
        <f>I18</f>
        <v>23297.16</v>
      </c>
      <c r="J23" s="130">
        <f t="shared" ref="J23" si="15">H23/I23</f>
        <v>0.36076500311625964</v>
      </c>
      <c r="K23" s="137">
        <f t="shared" si="3"/>
        <v>1.0369106281192721E-2</v>
      </c>
      <c r="L23" s="91" t="s">
        <v>63</v>
      </c>
      <c r="M23" s="37"/>
    </row>
    <row r="24" spans="1:13" s="38" customFormat="1" ht="16.5" thickBot="1">
      <c r="A24" s="51">
        <v>16</v>
      </c>
      <c r="B24" s="51" t="s">
        <v>68</v>
      </c>
      <c r="C24" s="160">
        <f>14500*3</f>
        <v>43500</v>
      </c>
      <c r="D24" s="160">
        <f t="shared" ref="D24:F24" si="16">14500*3</f>
        <v>43500</v>
      </c>
      <c r="E24" s="160">
        <f t="shared" si="16"/>
        <v>43500</v>
      </c>
      <c r="F24" s="160">
        <f t="shared" si="16"/>
        <v>43500</v>
      </c>
      <c r="G24" s="167">
        <f t="shared" si="5"/>
        <v>174000</v>
      </c>
      <c r="H24" s="72">
        <f t="shared" si="9"/>
        <v>14500</v>
      </c>
      <c r="I24" s="170">
        <f>I19</f>
        <v>23297.16</v>
      </c>
      <c r="J24" s="130">
        <f t="shared" si="6"/>
        <v>0.62239345911690525</v>
      </c>
      <c r="K24" s="138">
        <f t="shared" si="3"/>
        <v>1.7888830320447181E-2</v>
      </c>
      <c r="L24" s="92" t="s">
        <v>69</v>
      </c>
      <c r="M24" s="37"/>
    </row>
    <row r="25" spans="1:13" ht="19.5" customHeight="1" thickBot="1">
      <c r="A25" s="216" t="s">
        <v>1</v>
      </c>
      <c r="B25" s="217"/>
      <c r="C25" s="8">
        <f>SUM(C9:C24)</f>
        <v>1903520.6699999997</v>
      </c>
      <c r="D25" s="8">
        <f t="shared" ref="D25:H25" si="17">SUM(D9:D24)</f>
        <v>1903520.6699999997</v>
      </c>
      <c r="E25" s="8">
        <f t="shared" si="17"/>
        <v>1903520.6699999997</v>
      </c>
      <c r="F25" s="8">
        <f t="shared" si="17"/>
        <v>1903520.6699999997</v>
      </c>
      <c r="G25" s="61">
        <f>SUM(G9:G24)</f>
        <v>7614082.6799999988</v>
      </c>
      <c r="H25" s="74">
        <f t="shared" si="17"/>
        <v>634506.89</v>
      </c>
      <c r="I25" s="20" t="s">
        <v>20</v>
      </c>
      <c r="J25" s="15">
        <f>SUM(J9:J24)</f>
        <v>27.23537504142136</v>
      </c>
      <c r="K25" s="139" t="s">
        <v>28</v>
      </c>
      <c r="L25" s="84"/>
      <c r="M25" s="85"/>
    </row>
    <row r="26" spans="1:13" ht="19.5" customHeight="1" thickBot="1">
      <c r="A26" s="205" t="s">
        <v>89</v>
      </c>
      <c r="B26" s="206"/>
      <c r="C26" s="206"/>
      <c r="D26" s="206"/>
      <c r="E26" s="206"/>
      <c r="F26" s="207"/>
      <c r="G26" s="103">
        <f>G35</f>
        <v>2112657.2400000002</v>
      </c>
      <c r="H26" s="104">
        <f>H35</f>
        <v>176054.77</v>
      </c>
      <c r="I26" s="105" t="s">
        <v>20</v>
      </c>
      <c r="J26" s="106">
        <f>J35</f>
        <v>7.556919813402148</v>
      </c>
      <c r="K26" s="140">
        <f t="shared" si="3"/>
        <v>0.21720095914726581</v>
      </c>
      <c r="L26" s="29"/>
      <c r="M26" s="30"/>
    </row>
    <row r="27" spans="1:13" ht="48" customHeight="1">
      <c r="A27" s="55">
        <v>17</v>
      </c>
      <c r="B27" s="47" t="s">
        <v>62</v>
      </c>
      <c r="C27" s="158">
        <f>(128661.44+250)*3</f>
        <v>386734.32</v>
      </c>
      <c r="D27" s="158">
        <f t="shared" ref="D27:F27" si="18">(128661.44+250)*3</f>
        <v>386734.32</v>
      </c>
      <c r="E27" s="158">
        <f t="shared" si="18"/>
        <v>386734.32</v>
      </c>
      <c r="F27" s="158">
        <f t="shared" si="18"/>
        <v>386734.32</v>
      </c>
      <c r="G27" s="62">
        <f>SUM(C27:F27)</f>
        <v>1546937.28</v>
      </c>
      <c r="H27" s="75">
        <f>G27/12</f>
        <v>128911.44</v>
      </c>
      <c r="I27" s="56">
        <f>I9</f>
        <v>23297.16</v>
      </c>
      <c r="J27" s="58">
        <f>H27/I27</f>
        <v>5.5333542800925093</v>
      </c>
      <c r="K27" s="141">
        <f t="shared" si="3"/>
        <v>0.1590396466568626</v>
      </c>
      <c r="L27" s="218" t="s">
        <v>23</v>
      </c>
      <c r="M27" s="219"/>
    </row>
    <row r="28" spans="1:13" ht="24.75" customHeight="1">
      <c r="A28" s="55">
        <v>18</v>
      </c>
      <c r="B28" s="48" t="s">
        <v>2</v>
      </c>
      <c r="C28" s="156">
        <f>33000*3</f>
        <v>99000</v>
      </c>
      <c r="D28" s="156">
        <f t="shared" ref="D28:F28" si="19">33000*3</f>
        <v>99000</v>
      </c>
      <c r="E28" s="156">
        <f t="shared" si="19"/>
        <v>99000</v>
      </c>
      <c r="F28" s="156">
        <f t="shared" si="19"/>
        <v>99000</v>
      </c>
      <c r="G28" s="159">
        <f t="shared" ref="G28:G33" si="20">SUM(C28:F28)</f>
        <v>396000</v>
      </c>
      <c r="H28" s="76">
        <f t="shared" si="9"/>
        <v>33000</v>
      </c>
      <c r="I28" s="56">
        <f>I9</f>
        <v>23297.16</v>
      </c>
      <c r="J28" s="59">
        <f t="shared" ref="J28:J33" si="21">H28/I28</f>
        <v>1.416481665576405</v>
      </c>
      <c r="K28" s="137">
        <f t="shared" si="3"/>
        <v>4.0712510384465994E-2</v>
      </c>
      <c r="L28" s="29" t="s">
        <v>41</v>
      </c>
      <c r="M28" s="30"/>
    </row>
    <row r="29" spans="1:13" ht="18.75" customHeight="1">
      <c r="A29" s="55">
        <v>19</v>
      </c>
      <c r="B29" s="48" t="s">
        <v>52</v>
      </c>
      <c r="C29" s="156">
        <f>2000*3</f>
        <v>6000</v>
      </c>
      <c r="D29" s="156">
        <f t="shared" ref="D29:F29" si="22">2000*3</f>
        <v>6000</v>
      </c>
      <c r="E29" s="156">
        <f t="shared" si="22"/>
        <v>6000</v>
      </c>
      <c r="F29" s="156">
        <f t="shared" si="22"/>
        <v>6000</v>
      </c>
      <c r="G29" s="159">
        <f t="shared" si="20"/>
        <v>24000</v>
      </c>
      <c r="H29" s="76">
        <f t="shared" si="9"/>
        <v>2000</v>
      </c>
      <c r="I29" s="56">
        <f>I9</f>
        <v>23297.16</v>
      </c>
      <c r="J29" s="59">
        <f t="shared" si="21"/>
        <v>8.5847373671297272E-2</v>
      </c>
      <c r="K29" s="137">
        <f t="shared" si="3"/>
        <v>2.4674248717858178E-3</v>
      </c>
      <c r="L29" s="29"/>
      <c r="M29" s="30"/>
    </row>
    <row r="30" spans="1:13" ht="19.5" customHeight="1">
      <c r="A30" s="55">
        <v>20</v>
      </c>
      <c r="B30" s="48" t="s">
        <v>26</v>
      </c>
      <c r="C30" s="156">
        <f>2500*3</f>
        <v>7500</v>
      </c>
      <c r="D30" s="156">
        <f t="shared" ref="D30:F30" si="23">2500*3</f>
        <v>7500</v>
      </c>
      <c r="E30" s="156">
        <f t="shared" si="23"/>
        <v>7500</v>
      </c>
      <c r="F30" s="156">
        <f t="shared" si="23"/>
        <v>7500</v>
      </c>
      <c r="G30" s="159">
        <f t="shared" si="20"/>
        <v>30000</v>
      </c>
      <c r="H30" s="76">
        <f t="shared" si="9"/>
        <v>2500</v>
      </c>
      <c r="I30" s="56">
        <f>I9</f>
        <v>23297.16</v>
      </c>
      <c r="J30" s="59">
        <f t="shared" si="21"/>
        <v>0.1073092170891216</v>
      </c>
      <c r="K30" s="137">
        <f t="shared" si="3"/>
        <v>3.0842810897322727E-3</v>
      </c>
      <c r="L30" s="218"/>
      <c r="M30" s="219"/>
    </row>
    <row r="31" spans="1:13" ht="17.25" customHeight="1">
      <c r="A31" s="55">
        <v>21</v>
      </c>
      <c r="B31" s="48" t="s">
        <v>3</v>
      </c>
      <c r="C31" s="156">
        <f>4500*3</f>
        <v>13500</v>
      </c>
      <c r="D31" s="156">
        <f t="shared" ref="D31:F31" si="24">4500*3</f>
        <v>13500</v>
      </c>
      <c r="E31" s="156">
        <f t="shared" si="24"/>
        <v>13500</v>
      </c>
      <c r="F31" s="156">
        <f t="shared" si="24"/>
        <v>13500</v>
      </c>
      <c r="G31" s="159">
        <f t="shared" si="20"/>
        <v>54000</v>
      </c>
      <c r="H31" s="76">
        <f t="shared" si="9"/>
        <v>4500</v>
      </c>
      <c r="I31" s="56">
        <f>I9</f>
        <v>23297.16</v>
      </c>
      <c r="J31" s="59">
        <f t="shared" si="21"/>
        <v>0.19315659076041886</v>
      </c>
      <c r="K31" s="137">
        <f t="shared" si="3"/>
        <v>5.5517059615180905E-3</v>
      </c>
      <c r="L31" s="29"/>
      <c r="M31" s="30"/>
    </row>
    <row r="32" spans="1:13" ht="28.5" customHeight="1">
      <c r="A32" s="55">
        <v>22</v>
      </c>
      <c r="B32" s="48" t="s">
        <v>67</v>
      </c>
      <c r="C32" s="156">
        <f>(960+2200+158.33)*3</f>
        <v>9954.99</v>
      </c>
      <c r="D32" s="156">
        <f t="shared" ref="D32:F32" si="25">(960+2200+158.33)*3</f>
        <v>9954.99</v>
      </c>
      <c r="E32" s="156">
        <f t="shared" si="25"/>
        <v>9954.99</v>
      </c>
      <c r="F32" s="156">
        <f t="shared" si="25"/>
        <v>9954.99</v>
      </c>
      <c r="G32" s="159">
        <f t="shared" si="20"/>
        <v>39819.96</v>
      </c>
      <c r="H32" s="76">
        <f t="shared" si="9"/>
        <v>3318.33</v>
      </c>
      <c r="I32" s="56">
        <f>I9</f>
        <v>23297.16</v>
      </c>
      <c r="J32" s="59">
        <f t="shared" si="21"/>
        <v>0.14243495773733794</v>
      </c>
      <c r="K32" s="137">
        <f t="shared" si="3"/>
        <v>4.093864987396517E-3</v>
      </c>
      <c r="L32" s="29" t="s">
        <v>42</v>
      </c>
      <c r="M32" s="30"/>
    </row>
    <row r="33" spans="1:13" s="38" customFormat="1" ht="16.5" customHeight="1" thickBot="1">
      <c r="A33" s="55">
        <v>23</v>
      </c>
      <c r="B33" s="51" t="s">
        <v>72</v>
      </c>
      <c r="C33" s="160">
        <f>(500+825)*3</f>
        <v>3975</v>
      </c>
      <c r="D33" s="160">
        <f t="shared" ref="D33:F33" si="26">(500+825)*3</f>
        <v>3975</v>
      </c>
      <c r="E33" s="160">
        <f t="shared" si="26"/>
        <v>3975</v>
      </c>
      <c r="F33" s="160">
        <f t="shared" si="26"/>
        <v>3975</v>
      </c>
      <c r="G33" s="159">
        <f t="shared" si="20"/>
        <v>15900</v>
      </c>
      <c r="H33" s="77">
        <f t="shared" si="9"/>
        <v>1325</v>
      </c>
      <c r="I33" s="56">
        <f>I9</f>
        <v>23297.16</v>
      </c>
      <c r="J33" s="57">
        <f t="shared" si="21"/>
        <v>5.6873885057234445E-2</v>
      </c>
      <c r="K33" s="142">
        <f t="shared" si="3"/>
        <v>1.6346689775581045E-3</v>
      </c>
      <c r="L33" s="41"/>
      <c r="M33" s="42"/>
    </row>
    <row r="34" spans="1:13" s="38" customFormat="1" ht="19.5" customHeight="1" thickBot="1">
      <c r="A34" s="55">
        <v>24</v>
      </c>
      <c r="B34" s="51" t="s">
        <v>25</v>
      </c>
      <c r="C34" s="160">
        <v>1500</v>
      </c>
      <c r="D34" s="160">
        <v>1500</v>
      </c>
      <c r="E34" s="160">
        <v>1500</v>
      </c>
      <c r="F34" s="160">
        <v>1500</v>
      </c>
      <c r="G34" s="159">
        <f t="shared" ref="G34" si="27">SUM(C34:F34)</f>
        <v>6000</v>
      </c>
      <c r="H34" s="77">
        <f t="shared" ref="H34" si="28">G34/12</f>
        <v>500</v>
      </c>
      <c r="I34" s="56">
        <f>I9</f>
        <v>23297.16</v>
      </c>
      <c r="J34" s="57">
        <f t="shared" ref="J34" si="29">H34/I34</f>
        <v>2.1461843417824318E-2</v>
      </c>
      <c r="K34" s="149">
        <f t="shared" ref="K34" si="30">J34/$J$7</f>
        <v>6.1685621794645444E-4</v>
      </c>
      <c r="L34" s="41"/>
      <c r="M34" s="42"/>
    </row>
    <row r="35" spans="1:13" ht="21" customHeight="1" thickBot="1">
      <c r="A35" s="216" t="s">
        <v>1</v>
      </c>
      <c r="B35" s="217"/>
      <c r="C35" s="8">
        <f>SUM(C27:C34)</f>
        <v>528164.31000000006</v>
      </c>
      <c r="D35" s="8">
        <f t="shared" ref="D35:H35" si="31">SUM(D27:D34)</f>
        <v>528164.31000000006</v>
      </c>
      <c r="E35" s="8">
        <f t="shared" si="31"/>
        <v>528164.31000000006</v>
      </c>
      <c r="F35" s="8">
        <f t="shared" si="31"/>
        <v>528164.31000000006</v>
      </c>
      <c r="G35" s="61">
        <f t="shared" si="31"/>
        <v>2112657.2400000002</v>
      </c>
      <c r="H35" s="74">
        <f t="shared" si="31"/>
        <v>176054.77</v>
      </c>
      <c r="I35" s="20" t="s">
        <v>20</v>
      </c>
      <c r="J35" s="15">
        <f>SUM(J27:J34)</f>
        <v>7.556919813402148</v>
      </c>
      <c r="K35" s="139" t="s">
        <v>28</v>
      </c>
      <c r="L35" s="31"/>
      <c r="M35" s="32"/>
    </row>
    <row r="36" spans="1:13" ht="19.5" customHeight="1" thickBot="1">
      <c r="A36" s="240" t="s">
        <v>90</v>
      </c>
      <c r="B36" s="241"/>
      <c r="C36" s="241"/>
      <c r="D36" s="241"/>
      <c r="E36" s="241"/>
      <c r="F36" s="242"/>
      <c r="G36" s="107">
        <f>G37</f>
        <v>1560000</v>
      </c>
      <c r="H36" s="100">
        <f>H37</f>
        <v>130000</v>
      </c>
      <c r="I36" s="111" t="s">
        <v>20</v>
      </c>
      <c r="J36" s="102">
        <f>J37</f>
        <v>5.5800792886343231</v>
      </c>
      <c r="K36" s="143">
        <f>J36/J36</f>
        <v>1</v>
      </c>
      <c r="L36" s="29"/>
      <c r="M36" s="30"/>
    </row>
    <row r="37" spans="1:13" ht="24.75" customHeight="1" thickBot="1">
      <c r="A37" s="55">
        <v>25</v>
      </c>
      <c r="B37" s="48" t="s">
        <v>44</v>
      </c>
      <c r="C37" s="156">
        <f>130000*3</f>
        <v>390000</v>
      </c>
      <c r="D37" s="156">
        <f t="shared" ref="D37:F37" si="32">130000*3</f>
        <v>390000</v>
      </c>
      <c r="E37" s="156">
        <f t="shared" si="32"/>
        <v>390000</v>
      </c>
      <c r="F37" s="156">
        <f t="shared" si="32"/>
        <v>390000</v>
      </c>
      <c r="G37" s="157">
        <f>SUM(C37:F37)</f>
        <v>1560000</v>
      </c>
      <c r="H37" s="76">
        <f>G37/12</f>
        <v>130000</v>
      </c>
      <c r="I37" s="60">
        <f>I9</f>
        <v>23297.16</v>
      </c>
      <c r="J37" s="59">
        <f>H37/I37</f>
        <v>5.5800792886343231</v>
      </c>
      <c r="K37" s="139">
        <f>J37/J36</f>
        <v>1</v>
      </c>
      <c r="L37" s="41" t="s">
        <v>71</v>
      </c>
      <c r="M37" s="30"/>
    </row>
    <row r="38" spans="1:13" ht="19.5" customHeight="1" thickBot="1">
      <c r="A38" s="216" t="s">
        <v>1</v>
      </c>
      <c r="B38" s="217"/>
      <c r="C38" s="8">
        <f t="shared" ref="C38:H38" si="33">SUM(C37:C37)</f>
        <v>390000</v>
      </c>
      <c r="D38" s="8">
        <f t="shared" si="33"/>
        <v>390000</v>
      </c>
      <c r="E38" s="8">
        <f t="shared" si="33"/>
        <v>390000</v>
      </c>
      <c r="F38" s="8">
        <f t="shared" si="33"/>
        <v>390000</v>
      </c>
      <c r="G38" s="61">
        <f t="shared" si="33"/>
        <v>1560000</v>
      </c>
      <c r="H38" s="78">
        <f t="shared" si="33"/>
        <v>130000</v>
      </c>
      <c r="I38" s="15" t="s">
        <v>20</v>
      </c>
      <c r="J38" s="15">
        <f>SUM(J37:J37)</f>
        <v>5.5800792886343231</v>
      </c>
      <c r="K38" s="139" t="s">
        <v>28</v>
      </c>
      <c r="L38" s="31"/>
      <c r="M38" s="32"/>
    </row>
    <row r="39" spans="1:13" ht="24.75" customHeight="1" thickBot="1">
      <c r="A39" s="237" t="s">
        <v>91</v>
      </c>
      <c r="B39" s="238"/>
      <c r="C39" s="238"/>
      <c r="D39" s="238"/>
      <c r="E39" s="238"/>
      <c r="F39" s="239"/>
      <c r="G39" s="112">
        <f>G41</f>
        <v>559131.84</v>
      </c>
      <c r="H39" s="100">
        <f>H41</f>
        <v>46594.32</v>
      </c>
      <c r="I39" s="101" t="s">
        <v>20</v>
      </c>
      <c r="J39" s="102">
        <f>J41</f>
        <v>2</v>
      </c>
      <c r="K39" s="143">
        <f>J39/J39</f>
        <v>1</v>
      </c>
      <c r="L39" s="29"/>
      <c r="M39" s="30"/>
    </row>
    <row r="40" spans="1:13" ht="35.25" customHeight="1" thickBot="1">
      <c r="A40" s="55">
        <v>26</v>
      </c>
      <c r="B40" s="47" t="s">
        <v>92</v>
      </c>
      <c r="C40" s="99">
        <f>46594.32*3</f>
        <v>139782.96</v>
      </c>
      <c r="D40" s="99">
        <f t="shared" ref="D40:F40" si="34">46594.32*3</f>
        <v>139782.96</v>
      </c>
      <c r="E40" s="99">
        <f t="shared" si="34"/>
        <v>139782.96</v>
      </c>
      <c r="F40" s="99">
        <f t="shared" si="34"/>
        <v>139782.96</v>
      </c>
      <c r="G40" s="62">
        <f>SUM(C40:F40)</f>
        <v>559131.84</v>
      </c>
      <c r="H40" s="75">
        <f>G40/12</f>
        <v>46594.32</v>
      </c>
      <c r="I40" s="56">
        <f>I9</f>
        <v>23297.16</v>
      </c>
      <c r="J40" s="58">
        <f>H40/I40</f>
        <v>2</v>
      </c>
      <c r="K40" s="139">
        <f>J40/J39</f>
        <v>1</v>
      </c>
      <c r="L40" s="29"/>
      <c r="M40" s="30"/>
    </row>
    <row r="41" spans="1:13" ht="19.5" customHeight="1" thickBot="1">
      <c r="A41" s="216" t="s">
        <v>1</v>
      </c>
      <c r="B41" s="217"/>
      <c r="C41" s="8">
        <f t="shared" ref="C41:H41" si="35">SUM(C40:C40)</f>
        <v>139782.96</v>
      </c>
      <c r="D41" s="8">
        <f t="shared" si="35"/>
        <v>139782.96</v>
      </c>
      <c r="E41" s="8">
        <f t="shared" si="35"/>
        <v>139782.96</v>
      </c>
      <c r="F41" s="8">
        <f t="shared" si="35"/>
        <v>139782.96</v>
      </c>
      <c r="G41" s="8">
        <f t="shared" si="35"/>
        <v>559131.84</v>
      </c>
      <c r="H41" s="74">
        <f t="shared" si="35"/>
        <v>46594.32</v>
      </c>
      <c r="I41" s="20" t="s">
        <v>20</v>
      </c>
      <c r="J41" s="15">
        <f>SUM(J40:J40)</f>
        <v>2</v>
      </c>
      <c r="K41" s="139" t="s">
        <v>28</v>
      </c>
      <c r="L41" s="31"/>
      <c r="M41" s="32"/>
    </row>
    <row r="42" spans="1:13" ht="20.25" customHeight="1" thickBot="1">
      <c r="A42" s="230" t="s">
        <v>108</v>
      </c>
      <c r="B42" s="231"/>
      <c r="C42" s="231"/>
      <c r="D42" s="231"/>
      <c r="E42" s="231"/>
      <c r="F42" s="231"/>
      <c r="G42" s="113">
        <f>G7+G36+G39</f>
        <v>11845871.759999998</v>
      </c>
      <c r="H42" s="114">
        <f>H7+H36+H39</f>
        <v>987155.98</v>
      </c>
      <c r="I42" s="115" t="s">
        <v>20</v>
      </c>
      <c r="J42" s="115">
        <f>J7+J36+J39</f>
        <v>42.372374143457833</v>
      </c>
      <c r="K42" s="144" t="s">
        <v>28</v>
      </c>
      <c r="L42" s="31"/>
      <c r="M42" s="32"/>
    </row>
    <row r="43" spans="1:13" ht="16.5" thickBot="1">
      <c r="A43" s="22"/>
      <c r="B43" s="22"/>
      <c r="C43" s="22"/>
      <c r="D43" s="22"/>
      <c r="E43" s="22"/>
      <c r="F43" s="22"/>
      <c r="G43" s="63"/>
      <c r="H43" s="43"/>
      <c r="I43" s="23"/>
      <c r="J43" s="24"/>
      <c r="K43" s="145"/>
      <c r="L43" s="31"/>
      <c r="M43" s="32"/>
    </row>
    <row r="44" spans="1:13" ht="21.75" customHeight="1" thickBot="1">
      <c r="A44" s="243" t="s">
        <v>93</v>
      </c>
      <c r="B44" s="244"/>
      <c r="C44" s="244"/>
      <c r="D44" s="244"/>
      <c r="E44" s="244"/>
      <c r="F44" s="244"/>
      <c r="G44" s="116">
        <f>G49</f>
        <v>11934461.159999998</v>
      </c>
      <c r="H44" s="117">
        <f>H49</f>
        <v>994538.4299999997</v>
      </c>
      <c r="I44" s="118" t="s">
        <v>20</v>
      </c>
      <c r="J44" s="119" t="s">
        <v>20</v>
      </c>
      <c r="K44" s="132">
        <f>H44/H44</f>
        <v>1</v>
      </c>
      <c r="L44" s="29"/>
      <c r="M44" s="30"/>
    </row>
    <row r="45" spans="1:13" ht="41.25" customHeight="1">
      <c r="A45" s="26">
        <v>1</v>
      </c>
      <c r="B45" s="26" t="s">
        <v>94</v>
      </c>
      <c r="C45" s="27">
        <f>C25+C35</f>
        <v>2431684.9799999995</v>
      </c>
      <c r="D45" s="27">
        <f>D25+D35</f>
        <v>2431684.9799999995</v>
      </c>
      <c r="E45" s="27">
        <f>E25+E35</f>
        <v>2431684.9799999995</v>
      </c>
      <c r="F45" s="27">
        <f>F25+F35</f>
        <v>2431684.9799999995</v>
      </c>
      <c r="G45" s="64">
        <f>G7</f>
        <v>9726739.9199999981</v>
      </c>
      <c r="H45" s="75">
        <f>G45/12</f>
        <v>810561.6599999998</v>
      </c>
      <c r="I45" s="18" t="s">
        <v>28</v>
      </c>
      <c r="J45" s="25" t="s">
        <v>28</v>
      </c>
      <c r="K45" s="133">
        <f>H45/H44</f>
        <v>0.81501291005919207</v>
      </c>
      <c r="L45" s="29"/>
      <c r="M45" s="30"/>
    </row>
    <row r="46" spans="1:13" ht="32.25" customHeight="1">
      <c r="A46" s="26">
        <v>2</v>
      </c>
      <c r="B46" s="26" t="s">
        <v>102</v>
      </c>
      <c r="C46" s="27">
        <f t="shared" ref="C46:H46" si="36">C38</f>
        <v>390000</v>
      </c>
      <c r="D46" s="27">
        <f t="shared" si="36"/>
        <v>390000</v>
      </c>
      <c r="E46" s="27">
        <f t="shared" si="36"/>
        <v>390000</v>
      </c>
      <c r="F46" s="27">
        <f t="shared" si="36"/>
        <v>390000</v>
      </c>
      <c r="G46" s="65">
        <f t="shared" si="36"/>
        <v>1560000</v>
      </c>
      <c r="H46" s="71">
        <f t="shared" si="36"/>
        <v>130000</v>
      </c>
      <c r="I46" s="18" t="s">
        <v>28</v>
      </c>
      <c r="J46" s="25" t="s">
        <v>28</v>
      </c>
      <c r="K46" s="133">
        <f t="shared" ref="K46:K48" si="37">H46/H45</f>
        <v>0.16038261666607823</v>
      </c>
      <c r="L46" s="29"/>
      <c r="M46" s="30"/>
    </row>
    <row r="47" spans="1:13" ht="26.25" customHeight="1">
      <c r="A47" s="26">
        <v>3</v>
      </c>
      <c r="B47" s="155" t="s">
        <v>105</v>
      </c>
      <c r="C47" s="4">
        <f>C41</f>
        <v>139782.96</v>
      </c>
      <c r="D47" s="4">
        <f t="shared" ref="D47:F47" si="38">D41</f>
        <v>139782.96</v>
      </c>
      <c r="E47" s="4">
        <f t="shared" si="38"/>
        <v>139782.96</v>
      </c>
      <c r="F47" s="4">
        <f t="shared" si="38"/>
        <v>139782.96</v>
      </c>
      <c r="G47" s="66">
        <f>SUM(C47:F47)</f>
        <v>559131.84</v>
      </c>
      <c r="H47" s="76">
        <f>G47/12</f>
        <v>46594.32</v>
      </c>
      <c r="I47" s="21" t="s">
        <v>20</v>
      </c>
      <c r="J47" s="17" t="s">
        <v>20</v>
      </c>
      <c r="K47" s="133">
        <f t="shared" si="37"/>
        <v>0.35841784615384614</v>
      </c>
      <c r="L47" s="29"/>
      <c r="M47" s="30"/>
    </row>
    <row r="48" spans="1:13" ht="29.25" customHeight="1" thickBot="1">
      <c r="A48" s="26">
        <v>4</v>
      </c>
      <c r="B48" s="2" t="s">
        <v>39</v>
      </c>
      <c r="C48" s="4">
        <f>7382.45*3</f>
        <v>22147.35</v>
      </c>
      <c r="D48" s="4">
        <f t="shared" ref="D48:F48" si="39">7382.45*3</f>
        <v>22147.35</v>
      </c>
      <c r="E48" s="4">
        <f t="shared" si="39"/>
        <v>22147.35</v>
      </c>
      <c r="F48" s="4">
        <f t="shared" si="39"/>
        <v>22147.35</v>
      </c>
      <c r="G48" s="66">
        <f>SUM(C48:F48)</f>
        <v>88589.4</v>
      </c>
      <c r="H48" s="76">
        <f>G48/12</f>
        <v>7382.45</v>
      </c>
      <c r="I48" s="19" t="s">
        <v>28</v>
      </c>
      <c r="J48" s="16" t="s">
        <v>28</v>
      </c>
      <c r="K48" s="133">
        <f t="shared" si="37"/>
        <v>0.15844098593991715</v>
      </c>
      <c r="L48" s="29"/>
      <c r="M48" s="30"/>
    </row>
    <row r="49" spans="1:13" ht="16.5" thickBot="1">
      <c r="A49" s="216" t="s">
        <v>1</v>
      </c>
      <c r="B49" s="217"/>
      <c r="C49" s="8">
        <f t="shared" ref="C49:H49" si="40">SUM(C45:C48)</f>
        <v>2983615.2899999996</v>
      </c>
      <c r="D49" s="8">
        <f t="shared" si="40"/>
        <v>2983615.2899999996</v>
      </c>
      <c r="E49" s="8">
        <f t="shared" si="40"/>
        <v>2983615.2899999996</v>
      </c>
      <c r="F49" s="8">
        <f t="shared" si="40"/>
        <v>2983615.2899999996</v>
      </c>
      <c r="G49" s="67">
        <f t="shared" si="40"/>
        <v>11934461.159999998</v>
      </c>
      <c r="H49" s="79">
        <f t="shared" si="40"/>
        <v>994538.4299999997</v>
      </c>
      <c r="I49" s="20" t="s">
        <v>20</v>
      </c>
      <c r="J49" s="15" t="s">
        <v>20</v>
      </c>
      <c r="K49" s="146" t="s">
        <v>20</v>
      </c>
      <c r="L49" s="31"/>
      <c r="M49" s="32"/>
    </row>
    <row r="50" spans="1:13" ht="20.25" customHeight="1" thickBot="1">
      <c r="A50" s="245" t="s">
        <v>104</v>
      </c>
      <c r="B50" s="246"/>
      <c r="C50" s="246"/>
      <c r="D50" s="246"/>
      <c r="E50" s="246"/>
      <c r="F50" s="246"/>
      <c r="G50" s="120">
        <f>G49</f>
        <v>11934461.159999998</v>
      </c>
      <c r="H50" s="121">
        <f>H49</f>
        <v>994538.4299999997</v>
      </c>
      <c r="I50" s="122" t="s">
        <v>27</v>
      </c>
      <c r="J50" s="123" t="s">
        <v>27</v>
      </c>
      <c r="K50" s="147" t="s">
        <v>27</v>
      </c>
      <c r="L50" s="31"/>
      <c r="M50" s="32"/>
    </row>
    <row r="51" spans="1:13" ht="51.75" customHeight="1">
      <c r="A51" s="236" t="s">
        <v>110</v>
      </c>
      <c r="B51" s="236"/>
      <c r="C51" s="236"/>
      <c r="D51" s="236"/>
      <c r="E51" s="236"/>
      <c r="F51" s="236"/>
      <c r="G51" s="236"/>
      <c r="H51" s="236"/>
      <c r="I51" s="236"/>
      <c r="J51" s="35"/>
      <c r="K51" s="134"/>
    </row>
    <row r="52" spans="1:13">
      <c r="A52" s="235" t="s">
        <v>34</v>
      </c>
      <c r="B52" s="235"/>
    </row>
    <row r="53" spans="1:13">
      <c r="B53" s="260" t="s">
        <v>106</v>
      </c>
      <c r="C53" s="260"/>
      <c r="D53" s="260"/>
      <c r="E53" s="260"/>
      <c r="F53" s="260"/>
    </row>
    <row r="54" spans="1:13">
      <c r="B54" s="260" t="s">
        <v>33</v>
      </c>
      <c r="C54" s="260"/>
      <c r="D54" s="260"/>
      <c r="E54" s="260"/>
      <c r="F54" s="260"/>
      <c r="G54" s="260"/>
    </row>
    <row r="55" spans="1:13">
      <c r="B55" s="9" t="s">
        <v>96</v>
      </c>
    </row>
    <row r="56" spans="1:13">
      <c r="B56" s="9" t="s">
        <v>97</v>
      </c>
    </row>
    <row r="57" spans="1:13">
      <c r="B57" s="9" t="s">
        <v>98</v>
      </c>
    </row>
    <row r="58" spans="1:13" ht="60.75" customHeight="1">
      <c r="A58" s="258" t="s">
        <v>107</v>
      </c>
      <c r="B58" s="259"/>
      <c r="C58" s="259"/>
      <c r="D58" s="259"/>
      <c r="E58" s="259"/>
      <c r="F58" s="259"/>
      <c r="G58" s="259"/>
      <c r="H58" s="259"/>
      <c r="I58" s="259"/>
      <c r="J58" s="259"/>
      <c r="K58" s="96"/>
    </row>
    <row r="59" spans="1:13" ht="33" customHeight="1">
      <c r="A59" s="261" t="s">
        <v>73</v>
      </c>
      <c r="B59" s="261"/>
      <c r="C59" s="261"/>
      <c r="D59" s="261"/>
      <c r="E59" s="261"/>
      <c r="F59" s="261"/>
      <c r="G59" s="261"/>
      <c r="H59" s="261"/>
      <c r="I59" s="261"/>
      <c r="J59" s="261"/>
      <c r="K59" s="5"/>
    </row>
    <row r="60" spans="1:13" ht="15">
      <c r="A60" s="252" t="s">
        <v>31</v>
      </c>
      <c r="B60" s="252"/>
      <c r="C60" s="3"/>
      <c r="D60" s="3"/>
      <c r="E60" s="3"/>
      <c r="F60" s="3"/>
      <c r="K60" s="5"/>
    </row>
    <row r="61" spans="1:13" ht="18.75" customHeight="1" thickBot="1">
      <c r="B61" s="10" t="s">
        <v>29</v>
      </c>
      <c r="C61"/>
    </row>
    <row r="62" spans="1:13">
      <c r="B62" s="249" t="s">
        <v>74</v>
      </c>
      <c r="C62" s="250"/>
      <c r="D62" s="250"/>
      <c r="E62" s="251"/>
    </row>
    <row r="63" spans="1:13" ht="38.25" customHeight="1">
      <c r="B63" s="253" t="s">
        <v>32</v>
      </c>
      <c r="C63" s="247" t="s">
        <v>80</v>
      </c>
      <c r="D63" s="247"/>
      <c r="E63" s="248"/>
    </row>
    <row r="64" spans="1:13" ht="12.75" customHeight="1">
      <c r="B64" s="254"/>
      <c r="C64" s="256" t="s">
        <v>30</v>
      </c>
      <c r="D64" s="256"/>
      <c r="E64" s="257"/>
    </row>
    <row r="65" spans="2:5" ht="12.75" customHeight="1">
      <c r="B65" s="254"/>
      <c r="C65" s="256" t="s">
        <v>81</v>
      </c>
      <c r="D65" s="256"/>
      <c r="E65" s="257"/>
    </row>
    <row r="66" spans="2:5" ht="12.75" customHeight="1">
      <c r="B66" s="255"/>
      <c r="C66" s="256" t="s">
        <v>82</v>
      </c>
      <c r="D66" s="256"/>
      <c r="E66" s="257"/>
    </row>
    <row r="67" spans="2:5">
      <c r="B67" s="232" t="s">
        <v>75</v>
      </c>
      <c r="C67" s="233"/>
      <c r="D67" s="233"/>
      <c r="E67" s="234"/>
    </row>
    <row r="68" spans="2:5">
      <c r="B68" s="68" t="s">
        <v>49</v>
      </c>
      <c r="C68" s="227" t="s">
        <v>99</v>
      </c>
      <c r="D68" s="228"/>
      <c r="E68" s="229"/>
    </row>
    <row r="69" spans="2:5">
      <c r="B69" s="68" t="s">
        <v>48</v>
      </c>
      <c r="C69" s="224" t="s">
        <v>99</v>
      </c>
      <c r="D69" s="225"/>
      <c r="E69" s="226"/>
    </row>
    <row r="70" spans="2:5">
      <c r="B70" s="68" t="s">
        <v>50</v>
      </c>
      <c r="C70" s="227" t="s">
        <v>100</v>
      </c>
      <c r="D70" s="228"/>
      <c r="E70" s="229"/>
    </row>
    <row r="71" spans="2:5">
      <c r="B71" s="232" t="s">
        <v>76</v>
      </c>
      <c r="C71" s="233"/>
      <c r="D71" s="233"/>
      <c r="E71" s="234"/>
    </row>
    <row r="72" spans="2:5" ht="12.75" customHeight="1">
      <c r="B72" s="68" t="s">
        <v>46</v>
      </c>
      <c r="C72" s="227" t="s">
        <v>83</v>
      </c>
      <c r="D72" s="228"/>
      <c r="E72" s="229"/>
    </row>
    <row r="73" spans="2:5" ht="13.5" customHeight="1" thickBot="1">
      <c r="B73" s="69" t="s">
        <v>47</v>
      </c>
      <c r="C73" s="264" t="s">
        <v>83</v>
      </c>
      <c r="D73" s="265"/>
      <c r="E73" s="266"/>
    </row>
    <row r="74" spans="2:5">
      <c r="B74" s="249" t="s">
        <v>77</v>
      </c>
      <c r="C74" s="250"/>
      <c r="D74" s="250"/>
      <c r="E74" s="251"/>
    </row>
    <row r="75" spans="2:5">
      <c r="B75" s="253" t="s">
        <v>32</v>
      </c>
      <c r="C75" s="247" t="s">
        <v>57</v>
      </c>
      <c r="D75" s="247"/>
      <c r="E75" s="248"/>
    </row>
    <row r="76" spans="2:5">
      <c r="B76" s="254"/>
      <c r="C76" s="256" t="s">
        <v>30</v>
      </c>
      <c r="D76" s="256"/>
      <c r="E76" s="257"/>
    </row>
    <row r="77" spans="2:5">
      <c r="B77" s="254"/>
      <c r="C77" s="256" t="s">
        <v>55</v>
      </c>
      <c r="D77" s="256"/>
      <c r="E77" s="257"/>
    </row>
    <row r="78" spans="2:5">
      <c r="B78" s="255"/>
      <c r="C78" s="256" t="s">
        <v>56</v>
      </c>
      <c r="D78" s="256"/>
      <c r="E78" s="257"/>
    </row>
    <row r="79" spans="2:5">
      <c r="B79" s="232" t="s">
        <v>78</v>
      </c>
      <c r="C79" s="233"/>
      <c r="D79" s="233"/>
      <c r="E79" s="234"/>
    </row>
    <row r="80" spans="2:5">
      <c r="B80" s="68" t="s">
        <v>49</v>
      </c>
      <c r="C80" s="227" t="s">
        <v>53</v>
      </c>
      <c r="D80" s="228"/>
      <c r="E80" s="229"/>
    </row>
    <row r="81" spans="1:13">
      <c r="B81" s="68" t="s">
        <v>48</v>
      </c>
      <c r="C81" s="224" t="s">
        <v>53</v>
      </c>
      <c r="D81" s="225"/>
      <c r="E81" s="226"/>
    </row>
    <row r="82" spans="1:13">
      <c r="B82" s="68" t="s">
        <v>50</v>
      </c>
      <c r="C82" s="227" t="s">
        <v>53</v>
      </c>
      <c r="D82" s="228"/>
      <c r="E82" s="229"/>
    </row>
    <row r="83" spans="1:13">
      <c r="B83" s="232" t="s">
        <v>79</v>
      </c>
      <c r="C83" s="233"/>
      <c r="D83" s="233"/>
      <c r="E83" s="234"/>
    </row>
    <row r="84" spans="1:13">
      <c r="B84" s="68" t="s">
        <v>46</v>
      </c>
      <c r="C84" s="227" t="s">
        <v>54</v>
      </c>
      <c r="D84" s="228"/>
      <c r="E84" s="229"/>
    </row>
    <row r="85" spans="1:13" ht="13.5" thickBot="1">
      <c r="B85" s="69" t="s">
        <v>47</v>
      </c>
      <c r="C85" s="264" t="s">
        <v>54</v>
      </c>
      <c r="D85" s="265"/>
      <c r="E85" s="266"/>
    </row>
    <row r="86" spans="1:13" ht="28.5" customHeight="1">
      <c r="A86" s="263" t="s">
        <v>38</v>
      </c>
      <c r="B86" s="263"/>
      <c r="C86" s="263"/>
      <c r="D86" s="263"/>
      <c r="E86" s="263"/>
      <c r="F86" s="263"/>
      <c r="G86" s="263"/>
      <c r="H86" s="263"/>
    </row>
    <row r="87" spans="1:13" ht="90.75" customHeight="1">
      <c r="A87" s="267" t="s">
        <v>36</v>
      </c>
      <c r="B87" s="267"/>
      <c r="C87" s="267"/>
      <c r="D87" s="267"/>
      <c r="E87" s="267"/>
      <c r="F87" s="267"/>
      <c r="G87" s="267"/>
      <c r="H87" s="267"/>
      <c r="I87" s="267"/>
      <c r="J87" s="267"/>
      <c r="K87" s="95"/>
      <c r="L87" s="33"/>
      <c r="M87" s="33"/>
    </row>
    <row r="88" spans="1:13" ht="12.75" customHeight="1">
      <c r="A88" s="12" t="s">
        <v>40</v>
      </c>
    </row>
    <row r="89" spans="1:13" ht="19.5" customHeight="1">
      <c r="A89" s="9" t="s">
        <v>109</v>
      </c>
    </row>
    <row r="90" spans="1:13" ht="19.5" customHeight="1">
      <c r="A90" s="9" t="s">
        <v>84</v>
      </c>
    </row>
    <row r="91" spans="1:13" s="150" customFormat="1" ht="50.25" customHeight="1">
      <c r="A91" s="268" t="s">
        <v>95</v>
      </c>
      <c r="B91" s="268"/>
      <c r="C91" s="268"/>
      <c r="D91" s="268"/>
      <c r="E91" s="268"/>
      <c r="F91" s="268"/>
      <c r="G91" s="268"/>
      <c r="H91" s="268"/>
      <c r="I91" s="151"/>
      <c r="J91" s="152"/>
      <c r="K91" s="153"/>
      <c r="L91" s="154"/>
      <c r="M91" s="154"/>
    </row>
    <row r="92" spans="1:13" ht="19.5" customHeight="1">
      <c r="A92" s="9" t="s">
        <v>85</v>
      </c>
    </row>
    <row r="93" spans="1:13" s="38" customFormat="1" ht="46.5" customHeight="1">
      <c r="A93" s="223" t="s">
        <v>103</v>
      </c>
      <c r="B93" s="223"/>
      <c r="C93" s="223"/>
      <c r="D93" s="223"/>
      <c r="E93" s="223"/>
      <c r="F93" s="223"/>
      <c r="G93" s="223"/>
      <c r="H93" s="223"/>
      <c r="I93" s="223"/>
      <c r="J93" s="223"/>
      <c r="K93" s="148"/>
      <c r="L93" s="88"/>
      <c r="M93" s="88"/>
    </row>
    <row r="94" spans="1:13" ht="12.75" customHeight="1">
      <c r="A94" s="11"/>
      <c r="B94" s="11"/>
      <c r="C94" s="11"/>
      <c r="D94" s="11"/>
      <c r="E94" s="11"/>
      <c r="F94" s="11"/>
      <c r="G94" s="11"/>
      <c r="H94" s="11"/>
    </row>
    <row r="95" spans="1:13" ht="15.75" customHeight="1">
      <c r="A95" s="14" t="s">
        <v>35</v>
      </c>
    </row>
    <row r="96" spans="1:13" ht="33" customHeight="1" thickBot="1">
      <c r="B96" s="13"/>
      <c r="C96" s="13"/>
      <c r="D96" s="262" t="s">
        <v>37</v>
      </c>
      <c r="E96" s="262"/>
    </row>
    <row r="97" spans="2:5" ht="33" customHeight="1" thickBot="1">
      <c r="B97" s="70"/>
      <c r="C97" s="13"/>
      <c r="D97" s="262" t="s">
        <v>37</v>
      </c>
      <c r="E97" s="262"/>
    </row>
    <row r="98" spans="2:5" ht="33" customHeight="1" thickBot="1">
      <c r="B98" s="70"/>
      <c r="C98" s="13"/>
      <c r="D98" s="262" t="s">
        <v>37</v>
      </c>
      <c r="E98" s="262"/>
    </row>
    <row r="99" spans="2:5" ht="33" customHeight="1" thickBot="1">
      <c r="B99" s="70"/>
      <c r="C99" s="13"/>
      <c r="D99" s="262" t="s">
        <v>37</v>
      </c>
      <c r="E99" s="262"/>
    </row>
    <row r="100" spans="2:5" ht="33" customHeight="1" thickBot="1">
      <c r="B100" s="70"/>
      <c r="C100" s="13"/>
      <c r="D100" s="262" t="s">
        <v>37</v>
      </c>
      <c r="E100" s="262"/>
    </row>
  </sheetData>
  <mergeCells count="83">
    <mergeCell ref="A91:H91"/>
    <mergeCell ref="C82:E82"/>
    <mergeCell ref="B83:E83"/>
    <mergeCell ref="B74:E74"/>
    <mergeCell ref="B75:B78"/>
    <mergeCell ref="C75:E75"/>
    <mergeCell ref="C76:E76"/>
    <mergeCell ref="C77:E77"/>
    <mergeCell ref="C78:E78"/>
    <mergeCell ref="C84:E84"/>
    <mergeCell ref="C85:E85"/>
    <mergeCell ref="D99:E99"/>
    <mergeCell ref="D100:E100"/>
    <mergeCell ref="B4:B6"/>
    <mergeCell ref="D96:E96"/>
    <mergeCell ref="D97:E97"/>
    <mergeCell ref="A86:H86"/>
    <mergeCell ref="B54:G54"/>
    <mergeCell ref="C72:E72"/>
    <mergeCell ref="C73:E73"/>
    <mergeCell ref="A87:J87"/>
    <mergeCell ref="B71:E71"/>
    <mergeCell ref="C66:E66"/>
    <mergeCell ref="C68:E68"/>
    <mergeCell ref="B67:E67"/>
    <mergeCell ref="C70:E70"/>
    <mergeCell ref="D98:E98"/>
    <mergeCell ref="A50:F50"/>
    <mergeCell ref="C63:E63"/>
    <mergeCell ref="B62:E62"/>
    <mergeCell ref="A60:B60"/>
    <mergeCell ref="B63:B66"/>
    <mergeCell ref="C64:E64"/>
    <mergeCell ref="C65:E65"/>
    <mergeCell ref="A58:J58"/>
    <mergeCell ref="B53:F53"/>
    <mergeCell ref="A59:J59"/>
    <mergeCell ref="A93:J93"/>
    <mergeCell ref="C69:E69"/>
    <mergeCell ref="C80:E80"/>
    <mergeCell ref="C81:E81"/>
    <mergeCell ref="L30:M30"/>
    <mergeCell ref="A42:F42"/>
    <mergeCell ref="B79:E79"/>
    <mergeCell ref="A52:B52"/>
    <mergeCell ref="A51:I51"/>
    <mergeCell ref="A38:B38"/>
    <mergeCell ref="A35:B35"/>
    <mergeCell ref="A41:B41"/>
    <mergeCell ref="A39:F39"/>
    <mergeCell ref="A36:F36"/>
    <mergeCell ref="A44:F44"/>
    <mergeCell ref="A49:B49"/>
    <mergeCell ref="A26:F26"/>
    <mergeCell ref="C9:C15"/>
    <mergeCell ref="D9:D15"/>
    <mergeCell ref="A25:B25"/>
    <mergeCell ref="L27:M27"/>
    <mergeCell ref="L9:L18"/>
    <mergeCell ref="M4:M8"/>
    <mergeCell ref="E9:E15"/>
    <mergeCell ref="L4:L8"/>
    <mergeCell ref="H4:H6"/>
    <mergeCell ref="I9:I15"/>
    <mergeCell ref="J9:J15"/>
    <mergeCell ref="H9:H15"/>
    <mergeCell ref="K4:K6"/>
    <mergeCell ref="K9:K15"/>
    <mergeCell ref="A8:F8"/>
    <mergeCell ref="F9:F15"/>
    <mergeCell ref="G9:G15"/>
    <mergeCell ref="F4:F6"/>
    <mergeCell ref="G4:G6"/>
    <mergeCell ref="A7:F7"/>
    <mergeCell ref="C4:C6"/>
    <mergeCell ref="A1:D1"/>
    <mergeCell ref="A3:J3"/>
    <mergeCell ref="E1:J1"/>
    <mergeCell ref="J4:J6"/>
    <mergeCell ref="A4:A6"/>
    <mergeCell ref="D4:D6"/>
    <mergeCell ref="E4:E6"/>
    <mergeCell ref="I4:I6"/>
  </mergeCells>
  <phoneticPr fontId="1" type="noConversion"/>
  <pageMargins left="0.16" right="0.15" top="0.17" bottom="0.21" header="0.16" footer="0.2"/>
  <pageSetup paperSize="9" scale="71" fitToHeight="3" orientation="landscape" verticalDpi="0" r:id="rId1"/>
  <headerFooter alignWithMargins="0"/>
  <rowBreaks count="2" manualBreakCount="2">
    <brk id="25" max="10" man="1"/>
    <brk id="6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sqref="A1:A31"/>
    </sheetView>
  </sheetViews>
  <sheetFormatPr defaultRowHeight="12.75"/>
  <sheetData>
    <row r="1" spans="1:1">
      <c r="A1" s="7">
        <v>225</v>
      </c>
    </row>
    <row r="2" spans="1:1">
      <c r="A2" s="7">
        <v>500</v>
      </c>
    </row>
    <row r="3" spans="1:1">
      <c r="A3" s="7">
        <v>87.5</v>
      </c>
    </row>
    <row r="4" spans="1:1">
      <c r="A4" s="7">
        <v>500</v>
      </c>
    </row>
    <row r="5" spans="1:1">
      <c r="A5" s="7">
        <v>250</v>
      </c>
    </row>
    <row r="6" spans="1:1">
      <c r="A6" s="7">
        <v>500</v>
      </c>
    </row>
    <row r="7" spans="1:1">
      <c r="A7" s="7">
        <v>250</v>
      </c>
    </row>
    <row r="8" spans="1:1">
      <c r="A8" s="7">
        <v>500</v>
      </c>
    </row>
    <row r="9" spans="1:1">
      <c r="A9" s="7">
        <v>500</v>
      </c>
    </row>
    <row r="10" spans="1:1">
      <c r="A10" s="7">
        <v>125</v>
      </c>
    </row>
    <row r="11" spans="1:1">
      <c r="A11" s="7">
        <v>500</v>
      </c>
    </row>
    <row r="12" spans="1:1">
      <c r="A12" s="7">
        <v>162.5</v>
      </c>
    </row>
    <row r="13" spans="1:1">
      <c r="A13" s="7">
        <v>500</v>
      </c>
    </row>
    <row r="14" spans="1:1">
      <c r="A14" s="7">
        <v>112.5</v>
      </c>
    </row>
    <row r="15" spans="1:1">
      <c r="A15" s="7">
        <v>500</v>
      </c>
    </row>
    <row r="16" spans="1:1">
      <c r="A16" s="7">
        <v>187.5</v>
      </c>
    </row>
    <row r="17" spans="1:1">
      <c r="A17" s="7">
        <v>500</v>
      </c>
    </row>
    <row r="18" spans="1:1">
      <c r="A18" s="7">
        <v>590.32000000000005</v>
      </c>
    </row>
    <row r="19" spans="1:1">
      <c r="A19" s="7">
        <v>135.47999999999999</v>
      </c>
    </row>
    <row r="20" spans="1:1">
      <c r="A20" s="7">
        <v>300</v>
      </c>
    </row>
    <row r="21" spans="1:1">
      <c r="A21" s="7">
        <v>380</v>
      </c>
    </row>
    <row r="22" spans="1:1">
      <c r="A22" s="7">
        <v>700</v>
      </c>
    </row>
    <row r="23" spans="1:1">
      <c r="A23" s="7">
        <v>300</v>
      </c>
    </row>
    <row r="24" spans="1:1">
      <c r="A24" s="7">
        <v>460</v>
      </c>
    </row>
    <row r="25" spans="1:1">
      <c r="A25" s="7">
        <v>700</v>
      </c>
    </row>
    <row r="26" spans="1:1">
      <c r="A26" s="7">
        <v>300</v>
      </c>
    </row>
    <row r="27" spans="1:1">
      <c r="A27" s="7">
        <v>620</v>
      </c>
    </row>
    <row r="28" spans="1:1">
      <c r="A28" s="7">
        <v>700</v>
      </c>
    </row>
    <row r="29" spans="1:1">
      <c r="A29" s="7">
        <v>300</v>
      </c>
    </row>
    <row r="30" spans="1:1">
      <c r="A30" s="7">
        <v>360</v>
      </c>
    </row>
    <row r="31" spans="1:1">
      <c r="A31" s="7">
        <v>700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Nataliya</cp:lastModifiedBy>
  <cp:lastPrinted>2016-12-19T08:58:54Z</cp:lastPrinted>
  <dcterms:created xsi:type="dcterms:W3CDTF">2013-01-29T08:50:27Z</dcterms:created>
  <dcterms:modified xsi:type="dcterms:W3CDTF">2018-03-29T19:17:45Z</dcterms:modified>
</cp:coreProperties>
</file>